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stieva_L\Desktop\Отчет об исполнении бюджета МО г.Владикавказ за 2020 год\"/>
    </mc:Choice>
  </mc:AlternateContent>
  <bookViews>
    <workbookView xWindow="0" yWindow="0" windowWidth="19320" windowHeight="11835" tabRatio="871" activeTab="7"/>
  </bookViews>
  <sheets>
    <sheet name="ДОХОДЫ АДМ" sheetId="31" r:id="rId1"/>
    <sheet name="Доходы 2020 " sheetId="22" r:id="rId2"/>
    <sheet name=" Ведомственная 2020 " sheetId="20" r:id="rId3"/>
    <sheet name="Расходы 2020" sheetId="21" r:id="rId4"/>
    <sheet name="МП, ВЦП и НПР 2020" sheetId="8" r:id="rId5"/>
    <sheet name="Источники АДМ" sheetId="30" r:id="rId6"/>
    <sheet name="Источники 2020" sheetId="14" r:id="rId7"/>
    <sheet name="Резервный 2020 " sheetId="29" r:id="rId8"/>
  </sheets>
  <definedNames>
    <definedName name="_xlnm._FilterDatabase" localSheetId="2" hidden="1">' Ведомственная 2020 '!$A$8:$G$985</definedName>
    <definedName name="_xlnm._FilterDatabase" localSheetId="4" hidden="1">'МП, ВЦП и НПР 2020'!$A$9:$F$964</definedName>
    <definedName name="_xlnm._FilterDatabase" localSheetId="3" hidden="1">'Расходы 2020'!$A$9:$H$791</definedName>
    <definedName name="_xlnm.Print_Titles" localSheetId="2">' Ведомственная 2020 '!$8:$8</definedName>
    <definedName name="_xlnm.Print_Titles" localSheetId="4">'МП, ВЦП и НПР 2020'!$9:$9</definedName>
    <definedName name="_xlnm.Print_Titles" localSheetId="3">'Расходы 2020'!$9:$9</definedName>
    <definedName name="_xlnm.Print_Area" localSheetId="2">' Ведомственная 2020 '!$A$1:$I$988</definedName>
    <definedName name="_xlnm.Print_Area" localSheetId="1">'Доходы 2020 '!$A$1:$G$69</definedName>
    <definedName name="_xlnm.Print_Area" localSheetId="6">'Источники 2020'!$A$1:$D$31</definedName>
    <definedName name="_xlnm.Print_Area" localSheetId="4">'МП, ВЦП и НПР 2020'!$A$1:$H$1000</definedName>
    <definedName name="_xlnm.Print_Area" localSheetId="3">'Расходы 2020'!$A$1:$J$793</definedName>
  </definedNames>
  <calcPr calcId="152511"/>
  <fileRecoveryPr autoRecover="0"/>
</workbook>
</file>

<file path=xl/calcChain.xml><?xml version="1.0" encoding="utf-8"?>
<calcChain xmlns="http://schemas.openxmlformats.org/spreadsheetml/2006/main">
  <c r="H964" i="8" l="1"/>
  <c r="G965" i="8"/>
  <c r="F965" i="8"/>
  <c r="G966" i="8"/>
  <c r="F966" i="8"/>
  <c r="G970" i="8"/>
  <c r="H970" i="8"/>
  <c r="F970" i="8"/>
  <c r="H880" i="20"/>
  <c r="G880" i="20"/>
  <c r="I918" i="20"/>
  <c r="H918" i="20"/>
  <c r="H917" i="20" s="1"/>
  <c r="G918" i="20"/>
  <c r="G917" i="20" s="1"/>
  <c r="G802" i="20"/>
  <c r="G773" i="20"/>
  <c r="H743" i="20"/>
  <c r="G743" i="20"/>
  <c r="H757" i="20"/>
  <c r="H756" i="20" s="1"/>
  <c r="H758" i="20"/>
  <c r="G756" i="20"/>
  <c r="G757" i="20"/>
  <c r="I757" i="20"/>
  <c r="G592" i="20"/>
  <c r="H515" i="20"/>
  <c r="G515" i="20"/>
  <c r="H528" i="20"/>
  <c r="I528" i="20" s="1"/>
  <c r="G528" i="20"/>
  <c r="G527" i="20"/>
  <c r="I431" i="20"/>
  <c r="H431" i="20"/>
  <c r="G431" i="20"/>
  <c r="G458" i="20"/>
  <c r="H458" i="20"/>
  <c r="I458" i="20" s="1"/>
  <c r="G457" i="20"/>
  <c r="I337" i="20"/>
  <c r="H337" i="20"/>
  <c r="G337" i="20"/>
  <c r="G336" i="20" s="1"/>
  <c r="H336" i="20"/>
  <c r="I336" i="20" s="1"/>
  <c r="I312" i="20"/>
  <c r="I311" i="20"/>
  <c r="H312" i="20"/>
  <c r="H311" i="20" s="1"/>
  <c r="G311" i="20"/>
  <c r="G312" i="20"/>
  <c r="G313" i="20"/>
  <c r="I917" i="20" l="1"/>
  <c r="I756" i="20"/>
  <c r="H527" i="20"/>
  <c r="I527" i="20" s="1"/>
  <c r="H457" i="20"/>
  <c r="I457" i="20" s="1"/>
  <c r="D119" i="31"/>
  <c r="D106" i="31"/>
  <c r="D104" i="31"/>
  <c r="D98" i="31"/>
  <c r="D73" i="31"/>
  <c r="D71" i="31"/>
  <c r="D62" i="31"/>
  <c r="D60" i="31"/>
  <c r="D58" i="31"/>
  <c r="D56" i="31"/>
  <c r="D37" i="31"/>
  <c r="D35" i="31"/>
  <c r="D33" i="31"/>
  <c r="D31" i="31"/>
  <c r="D29" i="31"/>
  <c r="D27" i="31"/>
  <c r="D22" i="31"/>
  <c r="D20" i="31"/>
  <c r="D18" i="31"/>
  <c r="D16" i="31"/>
  <c r="D12" i="31"/>
  <c r="E65" i="22"/>
  <c r="G65" i="22" s="1"/>
  <c r="G64" i="22"/>
  <c r="G63" i="22"/>
  <c r="G62" i="22"/>
  <c r="D62" i="22"/>
  <c r="G61" i="22"/>
  <c r="D61" i="22"/>
  <c r="F60" i="22"/>
  <c r="G60" i="22" s="1"/>
  <c r="E60" i="22"/>
  <c r="D60" i="22" s="1"/>
  <c r="C60" i="22"/>
  <c r="G59" i="22"/>
  <c r="D59" i="22"/>
  <c r="E58" i="22"/>
  <c r="G58" i="22" s="1"/>
  <c r="D58" i="22"/>
  <c r="G57" i="22"/>
  <c r="D57" i="22"/>
  <c r="E56" i="22"/>
  <c r="E53" i="22" s="1"/>
  <c r="D56" i="22"/>
  <c r="E55" i="22"/>
  <c r="G55" i="22" s="1"/>
  <c r="D55" i="22"/>
  <c r="G54" i="22"/>
  <c r="E54" i="22"/>
  <c r="D54" i="22" s="1"/>
  <c r="F53" i="22"/>
  <c r="F52" i="22" s="1"/>
  <c r="C53" i="22"/>
  <c r="C52" i="22"/>
  <c r="G51" i="22"/>
  <c r="G50" i="22"/>
  <c r="G49" i="22"/>
  <c r="G48" i="22"/>
  <c r="G47" i="22"/>
  <c r="G46" i="22"/>
  <c r="G45" i="22"/>
  <c r="G44" i="22"/>
  <c r="E44" i="22"/>
  <c r="D44" i="22" s="1"/>
  <c r="F43" i="22"/>
  <c r="F38" i="22" s="1"/>
  <c r="E43" i="22"/>
  <c r="D43" i="22" s="1"/>
  <c r="C43" i="22"/>
  <c r="G41" i="22"/>
  <c r="E41" i="22"/>
  <c r="D41" i="22" s="1"/>
  <c r="G40" i="22"/>
  <c r="D40" i="22"/>
  <c r="F39" i="22"/>
  <c r="E39" i="22"/>
  <c r="G39" i="22" s="1"/>
  <c r="D39" i="22"/>
  <c r="C39" i="22"/>
  <c r="C38" i="22" s="1"/>
  <c r="C37" i="22" s="1"/>
  <c r="G36" i="22"/>
  <c r="E36" i="22"/>
  <c r="D36" i="22" s="1"/>
  <c r="E35" i="22"/>
  <c r="D35" i="22" s="1"/>
  <c r="G34" i="22"/>
  <c r="D34" i="22"/>
  <c r="G33" i="22"/>
  <c r="D33" i="22"/>
  <c r="F32" i="22"/>
  <c r="G32" i="22" s="1"/>
  <c r="E32" i="22"/>
  <c r="D32" i="22" s="1"/>
  <c r="C32" i="22"/>
  <c r="G31" i="22"/>
  <c r="D31" i="22"/>
  <c r="G30" i="22"/>
  <c r="D30" i="22"/>
  <c r="F29" i="22"/>
  <c r="G29" i="22" s="1"/>
  <c r="E29" i="22"/>
  <c r="D29" i="22" s="1"/>
  <c r="C29" i="22"/>
  <c r="G28" i="22"/>
  <c r="D28" i="22"/>
  <c r="G27" i="22"/>
  <c r="D27" i="22"/>
  <c r="G26" i="22"/>
  <c r="D26" i="22"/>
  <c r="E25" i="22"/>
  <c r="G25" i="22" s="1"/>
  <c r="D25" i="22"/>
  <c r="F24" i="22"/>
  <c r="G24" i="22" s="1"/>
  <c r="E24" i="22"/>
  <c r="D24" i="22"/>
  <c r="C24" i="22"/>
  <c r="E23" i="22"/>
  <c r="G23" i="22" s="1"/>
  <c r="D23" i="22"/>
  <c r="G22" i="22"/>
  <c r="E22" i="22"/>
  <c r="C22" i="22"/>
  <c r="D22" i="22" s="1"/>
  <c r="G21" i="22"/>
  <c r="E21" i="22"/>
  <c r="C21" i="22"/>
  <c r="D21" i="22" s="1"/>
  <c r="G20" i="22"/>
  <c r="E20" i="22"/>
  <c r="D20" i="22"/>
  <c r="G19" i="22"/>
  <c r="F19" i="22"/>
  <c r="E19" i="22"/>
  <c r="C19" i="22"/>
  <c r="D19" i="22" s="1"/>
  <c r="G18" i="22"/>
  <c r="E18" i="22"/>
  <c r="D18" i="22"/>
  <c r="G17" i="22"/>
  <c r="E17" i="22"/>
  <c r="D17" i="22"/>
  <c r="E16" i="22"/>
  <c r="D16" i="22" s="1"/>
  <c r="E15" i="22"/>
  <c r="G15" i="22" s="1"/>
  <c r="D15" i="22"/>
  <c r="C15" i="22"/>
  <c r="F14" i="22"/>
  <c r="G14" i="22" s="1"/>
  <c r="E14" i="22"/>
  <c r="D14" i="22" s="1"/>
  <c r="C14" i="22"/>
  <c r="E13" i="22"/>
  <c r="D13" i="22" s="1"/>
  <c r="F12" i="22"/>
  <c r="G12" i="22" s="1"/>
  <c r="E12" i="22"/>
  <c r="D12" i="22" s="1"/>
  <c r="C12" i="22"/>
  <c r="E11" i="22"/>
  <c r="D11" i="22" s="1"/>
  <c r="C11" i="22"/>
  <c r="F10" i="22"/>
  <c r="F9" i="22" s="1"/>
  <c r="C10" i="22"/>
  <c r="C9" i="22"/>
  <c r="C67" i="22" s="1"/>
  <c r="D121" i="31" l="1"/>
  <c r="F37" i="22"/>
  <c r="F67" i="22"/>
  <c r="D53" i="22"/>
  <c r="E52" i="22"/>
  <c r="G11" i="22"/>
  <c r="G16" i="22"/>
  <c r="G35" i="22"/>
  <c r="G43" i="22"/>
  <c r="G53" i="22"/>
  <c r="G56" i="22"/>
  <c r="G13" i="22"/>
  <c r="E10" i="22"/>
  <c r="D10" i="22" l="1"/>
  <c r="E9" i="22"/>
  <c r="D52" i="22"/>
  <c r="E38" i="22"/>
  <c r="G52" i="22"/>
  <c r="G10" i="22"/>
  <c r="G37" i="22"/>
  <c r="E37" i="22"/>
  <c r="D37" i="22" s="1"/>
  <c r="E67" i="22" l="1"/>
  <c r="D9" i="22"/>
  <c r="G9" i="22"/>
  <c r="D38" i="22"/>
  <c r="G38" i="22"/>
  <c r="D67" i="22" l="1"/>
  <c r="G67" i="22"/>
  <c r="J10" i="29" l="1"/>
  <c r="J9" i="29"/>
  <c r="C10" i="14" l="1"/>
  <c r="J767" i="21" l="1"/>
  <c r="I766" i="21"/>
  <c r="H766" i="21"/>
  <c r="H765" i="21" s="1"/>
  <c r="H764" i="21" s="1"/>
  <c r="G766" i="21"/>
  <c r="G765" i="21" s="1"/>
  <c r="F766" i="21"/>
  <c r="F765" i="21" s="1"/>
  <c r="F764" i="21" s="1"/>
  <c r="F763" i="21" s="1"/>
  <c r="I765" i="21"/>
  <c r="I764" i="21" s="1"/>
  <c r="J701" i="21"/>
  <c r="I700" i="21"/>
  <c r="I699" i="21" s="1"/>
  <c r="I698" i="21" s="1"/>
  <c r="H700" i="21"/>
  <c r="H699" i="21" s="1"/>
  <c r="H698" i="21" s="1"/>
  <c r="G700" i="21"/>
  <c r="G699" i="21" s="1"/>
  <c r="F700" i="21"/>
  <c r="F699" i="21" s="1"/>
  <c r="F698" i="21" s="1"/>
  <c r="F697" i="21" s="1"/>
  <c r="J635" i="21"/>
  <c r="I634" i="21"/>
  <c r="I633" i="21" s="1"/>
  <c r="I632" i="21" s="1"/>
  <c r="H634" i="21"/>
  <c r="H633" i="21" s="1"/>
  <c r="H632" i="21" s="1"/>
  <c r="G634" i="21"/>
  <c r="G633" i="21" s="1"/>
  <c r="F634" i="21"/>
  <c r="F633" i="21" s="1"/>
  <c r="F632" i="21" s="1"/>
  <c r="F631" i="21" s="1"/>
  <c r="I528" i="21"/>
  <c r="J509" i="21"/>
  <c r="I508" i="21"/>
  <c r="I507" i="21" s="1"/>
  <c r="H508" i="21"/>
  <c r="H507" i="21" s="1"/>
  <c r="G508" i="21"/>
  <c r="G507" i="21" s="1"/>
  <c r="F508" i="21"/>
  <c r="F507" i="21" s="1"/>
  <c r="I471" i="21"/>
  <c r="I440" i="21"/>
  <c r="J764" i="21" l="1"/>
  <c r="I763" i="21"/>
  <c r="H763" i="21"/>
  <c r="G763" i="21" s="1"/>
  <c r="G764" i="21"/>
  <c r="I697" i="21"/>
  <c r="J698" i="21"/>
  <c r="G698" i="21"/>
  <c r="H697" i="21"/>
  <c r="G632" i="21"/>
  <c r="H631" i="21"/>
  <c r="J632" i="21"/>
  <c r="I631" i="21"/>
  <c r="J631" i="21" s="1"/>
  <c r="J766" i="21"/>
  <c r="J765" i="21"/>
  <c r="J699" i="21"/>
  <c r="J700" i="21"/>
  <c r="J633" i="21"/>
  <c r="J634" i="21"/>
  <c r="J508" i="21"/>
  <c r="J507" i="21"/>
  <c r="J763" i="21" l="1"/>
  <c r="G697" i="21"/>
  <c r="J697" i="21"/>
  <c r="G631" i="21"/>
  <c r="J226" i="21"/>
  <c r="I225" i="21"/>
  <c r="H225" i="21"/>
  <c r="H224" i="21" s="1"/>
  <c r="H223" i="21" s="1"/>
  <c r="G225" i="21"/>
  <c r="G224" i="21" s="1"/>
  <c r="F225" i="21"/>
  <c r="F224" i="21" s="1"/>
  <c r="I224" i="21"/>
  <c r="I223" i="21" s="1"/>
  <c r="J84" i="21"/>
  <c r="I83" i="21"/>
  <c r="I82" i="21" s="1"/>
  <c r="H83" i="21"/>
  <c r="H82" i="21" s="1"/>
  <c r="G83" i="21"/>
  <c r="G82" i="21" s="1"/>
  <c r="F83" i="21"/>
  <c r="F82" i="21" s="1"/>
  <c r="J52" i="21"/>
  <c r="I51" i="21"/>
  <c r="H51" i="21"/>
  <c r="H50" i="21" s="1"/>
  <c r="G51" i="21"/>
  <c r="G50" i="21" s="1"/>
  <c r="F51" i="21"/>
  <c r="F50" i="21" s="1"/>
  <c r="I50" i="21"/>
  <c r="H222" i="21" l="1"/>
  <c r="J223" i="21"/>
  <c r="I222" i="21"/>
  <c r="J225" i="21"/>
  <c r="J224" i="21"/>
  <c r="J82" i="21"/>
  <c r="J83" i="21"/>
  <c r="J51" i="21"/>
  <c r="J50" i="21"/>
  <c r="J222" i="21" l="1"/>
  <c r="F988" i="8"/>
  <c r="F987" i="8" s="1"/>
  <c r="F986" i="8" s="1"/>
  <c r="H969" i="8"/>
  <c r="G968" i="8"/>
  <c r="G967" i="8" s="1"/>
  <c r="H967" i="8" s="1"/>
  <c r="F968" i="8"/>
  <c r="F967" i="8" s="1"/>
  <c r="H997" i="8"/>
  <c r="G996" i="8"/>
  <c r="F996" i="8"/>
  <c r="F995" i="8" s="1"/>
  <c r="F994" i="8" s="1"/>
  <c r="H993" i="8"/>
  <c r="G992" i="8"/>
  <c r="F992" i="8"/>
  <c r="F991" i="8" s="1"/>
  <c r="F990" i="8" s="1"/>
  <c r="G991" i="8"/>
  <c r="H989" i="8"/>
  <c r="G988" i="8"/>
  <c r="H988" i="8" s="1"/>
  <c r="H985" i="8"/>
  <c r="G984" i="8"/>
  <c r="G983" i="8" s="1"/>
  <c r="F984" i="8"/>
  <c r="F983" i="8" s="1"/>
  <c r="F982" i="8" s="1"/>
  <c r="H981" i="8"/>
  <c r="G980" i="8"/>
  <c r="F980" i="8"/>
  <c r="H980" i="8" s="1"/>
  <c r="G979" i="8"/>
  <c r="G978" i="8" s="1"/>
  <c r="H977" i="8"/>
  <c r="G976" i="8"/>
  <c r="F976" i="8"/>
  <c r="F975" i="8" s="1"/>
  <c r="F974" i="8" s="1"/>
  <c r="H973" i="8"/>
  <c r="G972" i="8"/>
  <c r="G971" i="8" s="1"/>
  <c r="F972" i="8"/>
  <c r="F971" i="8" s="1"/>
  <c r="H968" i="8" l="1"/>
  <c r="H992" i="8"/>
  <c r="H983" i="8"/>
  <c r="H976" i="8"/>
  <c r="H984" i="8"/>
  <c r="H972" i="8"/>
  <c r="G975" i="8"/>
  <c r="H975" i="8" s="1"/>
  <c r="H996" i="8"/>
  <c r="H991" i="8"/>
  <c r="H971" i="8"/>
  <c r="G974" i="8"/>
  <c r="F979" i="8"/>
  <c r="G982" i="8"/>
  <c r="H982" i="8" s="1"/>
  <c r="G990" i="8"/>
  <c r="H990" i="8" s="1"/>
  <c r="G987" i="8"/>
  <c r="G995" i="8"/>
  <c r="H979" i="8" l="1"/>
  <c r="F978" i="8"/>
  <c r="H978" i="8" s="1"/>
  <c r="H987" i="8"/>
  <c r="G986" i="8"/>
  <c r="H986" i="8" s="1"/>
  <c r="H974" i="8"/>
  <c r="H995" i="8"/>
  <c r="G994" i="8"/>
  <c r="H994" i="8" s="1"/>
  <c r="H966" i="8"/>
  <c r="F806" i="8" l="1"/>
  <c r="F732" i="8" s="1"/>
  <c r="H965" i="8" l="1"/>
  <c r="G686" i="8"/>
  <c r="G679" i="8"/>
  <c r="J778" i="21" l="1"/>
  <c r="J762" i="21"/>
  <c r="J732" i="21"/>
  <c r="J729" i="21"/>
  <c r="J726" i="21"/>
  <c r="J723" i="21"/>
  <c r="J718" i="21"/>
  <c r="J713" i="21"/>
  <c r="J708" i="21"/>
  <c r="J678" i="21"/>
  <c r="J664" i="21"/>
  <c r="J661" i="21"/>
  <c r="J656" i="21"/>
  <c r="J653" i="21"/>
  <c r="J614" i="21"/>
  <c r="J606" i="21"/>
  <c r="J586" i="21"/>
  <c r="J574" i="21"/>
  <c r="J559" i="21"/>
  <c r="J558" i="21"/>
  <c r="J552" i="21"/>
  <c r="J551" i="21"/>
  <c r="J543" i="21"/>
  <c r="J542" i="21"/>
  <c r="J535" i="21"/>
  <c r="J534" i="21"/>
  <c r="J524" i="21"/>
  <c r="J506" i="21"/>
  <c r="J488" i="21"/>
  <c r="J476" i="21"/>
  <c r="J459" i="21"/>
  <c r="J456" i="21"/>
  <c r="J452" i="21"/>
  <c r="J449" i="21"/>
  <c r="J446" i="21"/>
  <c r="J443" i="21"/>
  <c r="J437" i="21"/>
  <c r="J433" i="21"/>
  <c r="J430" i="21"/>
  <c r="J416" i="21"/>
  <c r="J407" i="21"/>
  <c r="J404" i="21"/>
  <c r="J393" i="21"/>
  <c r="J389" i="21"/>
  <c r="J375" i="21"/>
  <c r="J370" i="21"/>
  <c r="J365" i="21"/>
  <c r="J362" i="21"/>
  <c r="J359" i="21"/>
  <c r="J356" i="21"/>
  <c r="J349" i="21"/>
  <c r="J343" i="21"/>
  <c r="J340" i="21"/>
  <c r="J326" i="21"/>
  <c r="J320" i="21"/>
  <c r="J313" i="21"/>
  <c r="J299" i="21"/>
  <c r="J287" i="21"/>
  <c r="J284" i="21"/>
  <c r="J281" i="21"/>
  <c r="J278" i="21"/>
  <c r="J261" i="21"/>
  <c r="J256" i="21"/>
  <c r="J254" i="21"/>
  <c r="J238" i="21"/>
  <c r="J232" i="21"/>
  <c r="J217" i="21"/>
  <c r="J197" i="21"/>
  <c r="J192" i="21"/>
  <c r="J184" i="21"/>
  <c r="J177" i="21"/>
  <c r="J174" i="21"/>
  <c r="J168" i="21"/>
  <c r="J161" i="21"/>
  <c r="J158" i="21"/>
  <c r="J155" i="21"/>
  <c r="J148" i="21"/>
  <c r="J125" i="21"/>
  <c r="J122" i="21"/>
  <c r="J118" i="21"/>
  <c r="J115" i="21"/>
  <c r="J112" i="21"/>
  <c r="J106" i="21"/>
  <c r="J99" i="21"/>
  <c r="J96" i="21"/>
  <c r="J81" i="21"/>
  <c r="J79" i="21"/>
  <c r="J69" i="21"/>
  <c r="J58" i="21"/>
  <c r="J32" i="21"/>
  <c r="H959" i="8"/>
  <c r="H954" i="8"/>
  <c r="H949" i="8"/>
  <c r="H944" i="8"/>
  <c r="H938" i="8"/>
  <c r="H933" i="8"/>
  <c r="H922" i="8"/>
  <c r="H911" i="8"/>
  <c r="H892" i="8"/>
  <c r="H883" i="8"/>
  <c r="H877" i="8"/>
  <c r="H872" i="8"/>
  <c r="H862" i="8"/>
  <c r="H853" i="8"/>
  <c r="H848" i="8"/>
  <c r="H843" i="8"/>
  <c r="H838" i="8"/>
  <c r="H836" i="8"/>
  <c r="H834" i="8"/>
  <c r="H829" i="8"/>
  <c r="H815" i="8"/>
  <c r="H805" i="8"/>
  <c r="H803" i="8"/>
  <c r="H798" i="8"/>
  <c r="H781" i="8"/>
  <c r="H779" i="8"/>
  <c r="H766" i="8"/>
  <c r="H759" i="8"/>
  <c r="H748" i="8"/>
  <c r="H731" i="8"/>
  <c r="H726" i="8"/>
  <c r="H713" i="8"/>
  <c r="H674" i="8"/>
  <c r="H669" i="8"/>
  <c r="H666" i="8"/>
  <c r="H663" i="8"/>
  <c r="H660" i="8"/>
  <c r="H655" i="8"/>
  <c r="H645" i="8"/>
  <c r="H615" i="8"/>
  <c r="H610" i="8"/>
  <c r="H605" i="8"/>
  <c r="H594" i="8"/>
  <c r="H592" i="8"/>
  <c r="H587" i="8"/>
  <c r="H580" i="8"/>
  <c r="H575" i="8"/>
  <c r="H570" i="8"/>
  <c r="H565" i="8"/>
  <c r="H545" i="8"/>
  <c r="H540" i="8"/>
  <c r="H535" i="8"/>
  <c r="H529" i="8"/>
  <c r="H493" i="8"/>
  <c r="H481" i="8"/>
  <c r="H471" i="8"/>
  <c r="H449" i="8"/>
  <c r="H444" i="8"/>
  <c r="H416" i="8"/>
  <c r="H405" i="8"/>
  <c r="H365" i="8"/>
  <c r="H364" i="8"/>
  <c r="H359" i="8"/>
  <c r="H353" i="8"/>
  <c r="H341" i="8"/>
  <c r="H324" i="8"/>
  <c r="H323" i="8"/>
  <c r="H306" i="8"/>
  <c r="H305" i="8"/>
  <c r="H294" i="8"/>
  <c r="H293" i="8"/>
  <c r="H288" i="8"/>
  <c r="H257" i="8"/>
  <c r="H252" i="8"/>
  <c r="H247" i="8"/>
  <c r="H242" i="8"/>
  <c r="H236" i="8"/>
  <c r="H231" i="8"/>
  <c r="H226" i="8"/>
  <c r="H221" i="8"/>
  <c r="H188" i="8"/>
  <c r="H173" i="8"/>
  <c r="H168" i="8"/>
  <c r="H136" i="8"/>
  <c r="H129" i="8"/>
  <c r="H127" i="8"/>
  <c r="H103" i="8"/>
  <c r="H89" i="8"/>
  <c r="H84" i="8"/>
  <c r="H77" i="8"/>
  <c r="H70" i="8"/>
  <c r="H64" i="8"/>
  <c r="H59" i="8"/>
  <c r="H53" i="8"/>
  <c r="H48" i="8"/>
  <c r="H43" i="8"/>
  <c r="H33" i="8"/>
  <c r="H22" i="8"/>
  <c r="H17" i="8"/>
  <c r="J21" i="21"/>
  <c r="I20" i="21"/>
  <c r="I19" i="21" s="1"/>
  <c r="H20" i="21"/>
  <c r="G20" i="21"/>
  <c r="F20" i="21"/>
  <c r="F19" i="21" s="1"/>
  <c r="J20" i="21" l="1"/>
  <c r="H19" i="21"/>
  <c r="J19" i="21" s="1"/>
  <c r="G19" i="21"/>
  <c r="D12" i="14"/>
  <c r="D14" i="14"/>
  <c r="D17" i="14"/>
  <c r="D19" i="14"/>
  <c r="D24" i="14"/>
  <c r="D23" i="14" s="1"/>
  <c r="D22" i="14" s="1"/>
  <c r="D28" i="14"/>
  <c r="D27" i="14" s="1"/>
  <c r="D26" i="14" s="1"/>
  <c r="D13" i="30"/>
  <c r="E13" i="30"/>
  <c r="D15" i="30"/>
  <c r="E15" i="30"/>
  <c r="D18" i="30"/>
  <c r="E18" i="30"/>
  <c r="D20" i="30"/>
  <c r="E20" i="30"/>
  <c r="D26" i="30"/>
  <c r="D25" i="30" s="1"/>
  <c r="D24" i="30" s="1"/>
  <c r="E26" i="30"/>
  <c r="E25" i="30" s="1"/>
  <c r="E24" i="30" s="1"/>
  <c r="D30" i="30"/>
  <c r="D29" i="30" s="1"/>
  <c r="D28" i="30" s="1"/>
  <c r="E30" i="30"/>
  <c r="E29" i="30" s="1"/>
  <c r="E28" i="30" s="1"/>
  <c r="H10" i="29"/>
  <c r="I10" i="29"/>
  <c r="D17" i="30" l="1"/>
  <c r="D12" i="30"/>
  <c r="E12" i="30"/>
  <c r="E17" i="30"/>
  <c r="E11" i="30" s="1"/>
  <c r="E23" i="30"/>
  <c r="D11" i="14"/>
  <c r="D16" i="14"/>
  <c r="D21" i="14"/>
  <c r="D10" i="14" s="1"/>
  <c r="D23" i="30"/>
  <c r="D11" i="30" l="1"/>
  <c r="G16" i="8"/>
  <c r="G21" i="8"/>
  <c r="G27" i="8"/>
  <c r="G32" i="8"/>
  <c r="G37" i="8"/>
  <c r="G42" i="8"/>
  <c r="G47" i="8"/>
  <c r="G52" i="8"/>
  <c r="G58" i="8"/>
  <c r="G63" i="8"/>
  <c r="G69" i="8"/>
  <c r="G76" i="8"/>
  <c r="G81" i="8"/>
  <c r="G83" i="8"/>
  <c r="G88" i="8"/>
  <c r="G94" i="8"/>
  <c r="G100" i="8"/>
  <c r="G102" i="8"/>
  <c r="G107" i="8"/>
  <c r="G112" i="8"/>
  <c r="G114" i="8"/>
  <c r="G119" i="8"/>
  <c r="G121" i="8"/>
  <c r="G126" i="8"/>
  <c r="G128" i="8"/>
  <c r="G133" i="8"/>
  <c r="G135" i="8"/>
  <c r="G142" i="8"/>
  <c r="G144" i="8"/>
  <c r="G146" i="8"/>
  <c r="G151" i="8"/>
  <c r="G157" i="8"/>
  <c r="G162" i="8"/>
  <c r="G167" i="8"/>
  <c r="G172" i="8"/>
  <c r="G177" i="8"/>
  <c r="G182" i="8"/>
  <c r="G187" i="8"/>
  <c r="G192" i="8"/>
  <c r="G194" i="8"/>
  <c r="G196" i="8"/>
  <c r="G201" i="8"/>
  <c r="G206" i="8"/>
  <c r="G213" i="8"/>
  <c r="G218" i="8"/>
  <c r="G220" i="8"/>
  <c r="G225" i="8"/>
  <c r="G230" i="8"/>
  <c r="G235" i="8"/>
  <c r="G241" i="8"/>
  <c r="G246" i="8"/>
  <c r="G251" i="8"/>
  <c r="G256" i="8"/>
  <c r="G261" i="8"/>
  <c r="G268" i="8"/>
  <c r="G287" i="8"/>
  <c r="G292" i="8"/>
  <c r="G304" i="8"/>
  <c r="G322" i="8"/>
  <c r="G336" i="8"/>
  <c r="G338" i="8"/>
  <c r="G340" i="8"/>
  <c r="G345" i="8"/>
  <c r="G350" i="8"/>
  <c r="G352" i="8"/>
  <c r="G358" i="8"/>
  <c r="G363" i="8"/>
  <c r="G369" i="8"/>
  <c r="G377" i="8"/>
  <c r="G382" i="8"/>
  <c r="G389" i="8"/>
  <c r="G394" i="8"/>
  <c r="G399" i="8"/>
  <c r="G404" i="8"/>
  <c r="G410" i="8"/>
  <c r="G415" i="8"/>
  <c r="G422" i="8"/>
  <c r="G428" i="8"/>
  <c r="G433" i="8"/>
  <c r="G438" i="8"/>
  <c r="G443" i="8"/>
  <c r="G448" i="8"/>
  <c r="G456" i="8"/>
  <c r="G461" i="8"/>
  <c r="G463" i="8"/>
  <c r="G470" i="8"/>
  <c r="G475" i="8"/>
  <c r="G480" i="8"/>
  <c r="G486" i="8"/>
  <c r="G492" i="8"/>
  <c r="G494" i="8"/>
  <c r="G499" i="8"/>
  <c r="G505" i="8"/>
  <c r="G507" i="8"/>
  <c r="G513" i="8"/>
  <c r="G518" i="8"/>
  <c r="G523" i="8"/>
  <c r="G528" i="8"/>
  <c r="G534" i="8"/>
  <c r="G539" i="8"/>
  <c r="G544" i="8"/>
  <c r="G549" i="8"/>
  <c r="G555" i="8"/>
  <c r="G557" i="8"/>
  <c r="G559" i="8"/>
  <c r="G564" i="8"/>
  <c r="G569" i="8"/>
  <c r="G574" i="8"/>
  <c r="G579" i="8"/>
  <c r="G586" i="8"/>
  <c r="G591" i="8"/>
  <c r="G593" i="8"/>
  <c r="G599" i="8"/>
  <c r="G604" i="8"/>
  <c r="G609" i="8"/>
  <c r="G614" i="8"/>
  <c r="G619" i="8"/>
  <c r="G624" i="8"/>
  <c r="G629" i="8"/>
  <c r="G634" i="8"/>
  <c r="G639" i="8"/>
  <c r="G644" i="8"/>
  <c r="G649" i="8"/>
  <c r="G654" i="8"/>
  <c r="G659" i="8"/>
  <c r="G662" i="8"/>
  <c r="G665" i="8"/>
  <c r="G668" i="8"/>
  <c r="G673" i="8"/>
  <c r="G678" i="8"/>
  <c r="G685" i="8"/>
  <c r="G691" i="8"/>
  <c r="G698" i="8"/>
  <c r="G705" i="8"/>
  <c r="G710" i="8"/>
  <c r="G712" i="8"/>
  <c r="G719" i="8"/>
  <c r="G725" i="8"/>
  <c r="G730" i="8"/>
  <c r="G736" i="8"/>
  <c r="G741" i="8"/>
  <c r="G745" i="8"/>
  <c r="G747" i="8"/>
  <c r="G752" i="8"/>
  <c r="G758" i="8"/>
  <c r="G763" i="8"/>
  <c r="G765" i="8"/>
  <c r="G771" i="8"/>
  <c r="G773" i="8"/>
  <c r="G778" i="8"/>
  <c r="G780" i="8"/>
  <c r="G785" i="8"/>
  <c r="G789" i="8"/>
  <c r="G791" i="8"/>
  <c r="G797" i="8"/>
  <c r="G802" i="8"/>
  <c r="G804" i="8"/>
  <c r="G810" i="8"/>
  <c r="G814" i="8"/>
  <c r="G819" i="8"/>
  <c r="G821" i="8"/>
  <c r="G823" i="8"/>
  <c r="G828" i="8"/>
  <c r="G833" i="8"/>
  <c r="G835" i="8"/>
  <c r="G837" i="8"/>
  <c r="G842" i="8"/>
  <c r="G847" i="8"/>
  <c r="G852" i="8"/>
  <c r="G857" i="8"/>
  <c r="G859" i="8"/>
  <c r="G861" i="8"/>
  <c r="G866" i="8"/>
  <c r="G871" i="8"/>
  <c r="G876" i="8"/>
  <c r="G881" i="8"/>
  <c r="G887" i="8"/>
  <c r="G889" i="8"/>
  <c r="G891" i="8"/>
  <c r="G893" i="8"/>
  <c r="G898" i="8"/>
  <c r="G903" i="8"/>
  <c r="G908" i="8"/>
  <c r="G910" i="8"/>
  <c r="G916" i="8"/>
  <c r="G921" i="8"/>
  <c r="G926" i="8"/>
  <c r="G932" i="8"/>
  <c r="G937" i="8"/>
  <c r="G943" i="8"/>
  <c r="G948" i="8"/>
  <c r="G953" i="8"/>
  <c r="G958" i="8"/>
  <c r="G963" i="8"/>
  <c r="I167" i="21"/>
  <c r="H167" i="21"/>
  <c r="H166" i="21" s="1"/>
  <c r="I17" i="21"/>
  <c r="I26" i="21"/>
  <c r="I29" i="21"/>
  <c r="I31" i="21"/>
  <c r="I38" i="21"/>
  <c r="I43" i="21"/>
  <c r="I46" i="21"/>
  <c r="I48" i="21"/>
  <c r="I57" i="21"/>
  <c r="I63" i="21"/>
  <c r="I66" i="21"/>
  <c r="I68" i="21"/>
  <c r="I73" i="21"/>
  <c r="I75" i="21"/>
  <c r="I78" i="21"/>
  <c r="I80" i="21"/>
  <c r="I89" i="21"/>
  <c r="I95" i="21"/>
  <c r="I98" i="21"/>
  <c r="I102" i="21"/>
  <c r="I105" i="21"/>
  <c r="I108" i="21"/>
  <c r="I111" i="21"/>
  <c r="I114" i="21"/>
  <c r="I117" i="21"/>
  <c r="I121" i="21"/>
  <c r="I124" i="21"/>
  <c r="I129" i="21"/>
  <c r="I134" i="21"/>
  <c r="I140" i="21"/>
  <c r="I142" i="21"/>
  <c r="I144" i="21"/>
  <c r="I147" i="21"/>
  <c r="I150" i="21"/>
  <c r="I152" i="21"/>
  <c r="I154" i="21"/>
  <c r="I157" i="21"/>
  <c r="I160" i="21"/>
  <c r="I173" i="21"/>
  <c r="I176" i="21"/>
  <c r="I183" i="21"/>
  <c r="I187" i="21"/>
  <c r="I189" i="21"/>
  <c r="I191" i="21"/>
  <c r="I196" i="21"/>
  <c r="I201" i="21"/>
  <c r="I203" i="21"/>
  <c r="I205" i="21"/>
  <c r="I211" i="21"/>
  <c r="I214" i="21"/>
  <c r="I216" i="21"/>
  <c r="I220" i="21"/>
  <c r="I231" i="21"/>
  <c r="I235" i="21"/>
  <c r="I237" i="21"/>
  <c r="I240" i="21"/>
  <c r="I243" i="21"/>
  <c r="I245" i="21"/>
  <c r="I248" i="21"/>
  <c r="I250" i="21"/>
  <c r="I253" i="21"/>
  <c r="I255" i="21"/>
  <c r="I258" i="21"/>
  <c r="I260" i="21"/>
  <c r="I265" i="21"/>
  <c r="I267" i="21"/>
  <c r="I269" i="21"/>
  <c r="I272" i="21"/>
  <c r="I277" i="21"/>
  <c r="I280" i="21"/>
  <c r="I283" i="21"/>
  <c r="I286" i="21"/>
  <c r="I289" i="21"/>
  <c r="I294" i="21"/>
  <c r="I298" i="21"/>
  <c r="I301" i="21"/>
  <c r="I306" i="21"/>
  <c r="I309" i="21"/>
  <c r="I312" i="21"/>
  <c r="I319" i="21"/>
  <c r="I322" i="21"/>
  <c r="I325" i="21"/>
  <c r="I329" i="21"/>
  <c r="I332" i="21"/>
  <c r="I335" i="21"/>
  <c r="I339" i="21"/>
  <c r="I342" i="21"/>
  <c r="I345" i="21"/>
  <c r="I348" i="21"/>
  <c r="I352" i="21"/>
  <c r="I355" i="21"/>
  <c r="I358" i="21"/>
  <c r="I361" i="21"/>
  <c r="I364" i="21"/>
  <c r="I369" i="21"/>
  <c r="I374" i="21"/>
  <c r="I376" i="21"/>
  <c r="I379" i="21"/>
  <c r="I383" i="21"/>
  <c r="I385" i="21"/>
  <c r="I388" i="21"/>
  <c r="I392" i="21"/>
  <c r="I397" i="21"/>
  <c r="I400" i="21"/>
  <c r="I403" i="21"/>
  <c r="I406" i="21"/>
  <c r="I409" i="21"/>
  <c r="I412" i="21"/>
  <c r="I415" i="21"/>
  <c r="I418" i="21"/>
  <c r="I421" i="21"/>
  <c r="I426" i="21"/>
  <c r="I429" i="21"/>
  <c r="I432" i="21"/>
  <c r="I436" i="21"/>
  <c r="I439" i="21"/>
  <c r="I442" i="21"/>
  <c r="I445" i="21"/>
  <c r="I448" i="21"/>
  <c r="I451" i="21"/>
  <c r="I455" i="21"/>
  <c r="I458" i="21"/>
  <c r="I463" i="21"/>
  <c r="I470" i="21"/>
  <c r="I473" i="21"/>
  <c r="I475" i="21"/>
  <c r="I482" i="21"/>
  <c r="I485" i="21"/>
  <c r="I487" i="21"/>
  <c r="I491" i="21"/>
  <c r="I493" i="21"/>
  <c r="I495" i="21"/>
  <c r="I500" i="21"/>
  <c r="I503" i="21"/>
  <c r="I505" i="21"/>
  <c r="I523" i="21"/>
  <c r="I527" i="21"/>
  <c r="I533" i="21"/>
  <c r="I541" i="21"/>
  <c r="I545" i="21"/>
  <c r="I550" i="21"/>
  <c r="I557" i="21"/>
  <c r="I564" i="21"/>
  <c r="I570" i="21"/>
  <c r="I573" i="21"/>
  <c r="I578" i="21"/>
  <c r="I583" i="21"/>
  <c r="I585" i="21"/>
  <c r="I591" i="21"/>
  <c r="I590" i="21" s="1"/>
  <c r="I601" i="21"/>
  <c r="I603" i="21"/>
  <c r="I605" i="21"/>
  <c r="I608" i="21"/>
  <c r="I611" i="21"/>
  <c r="I613" i="21"/>
  <c r="I619" i="21"/>
  <c r="I622" i="21"/>
  <c r="I626" i="21"/>
  <c r="I629" i="21"/>
  <c r="I642" i="21"/>
  <c r="I645" i="21"/>
  <c r="I649" i="21"/>
  <c r="I652" i="21"/>
  <c r="I655" i="21"/>
  <c r="I660" i="21"/>
  <c r="I663" i="21"/>
  <c r="I668" i="21"/>
  <c r="I671" i="21"/>
  <c r="I674" i="21"/>
  <c r="I677" i="21"/>
  <c r="I683" i="21"/>
  <c r="I686" i="21"/>
  <c r="I688" i="21"/>
  <c r="I692" i="21"/>
  <c r="I695" i="21"/>
  <c r="I707" i="21"/>
  <c r="I712" i="21"/>
  <c r="I717" i="21"/>
  <c r="I722" i="21"/>
  <c r="I725" i="21"/>
  <c r="I728" i="21"/>
  <c r="I731" i="21"/>
  <c r="I737" i="21"/>
  <c r="I744" i="21"/>
  <c r="I749" i="21"/>
  <c r="I756" i="21"/>
  <c r="I759" i="21"/>
  <c r="I761" i="21"/>
  <c r="I773" i="21"/>
  <c r="I775" i="21"/>
  <c r="I777" i="21"/>
  <c r="I779" i="21"/>
  <c r="I784" i="21"/>
  <c r="I790" i="21"/>
  <c r="I789" i="21" l="1"/>
  <c r="I783" i="21"/>
  <c r="I755" i="21"/>
  <c r="I748" i="21"/>
  <c r="I743" i="21"/>
  <c r="I736" i="21"/>
  <c r="I730" i="21"/>
  <c r="I727" i="21"/>
  <c r="I724" i="21"/>
  <c r="I721" i="21"/>
  <c r="I716" i="21"/>
  <c r="I706" i="21"/>
  <c r="I711" i="21"/>
  <c r="I694" i="21"/>
  <c r="I691" i="21"/>
  <c r="I682" i="21"/>
  <c r="I676" i="21"/>
  <c r="I673" i="21"/>
  <c r="I670" i="21"/>
  <c r="I667" i="21"/>
  <c r="I662" i="21"/>
  <c r="I659" i="21"/>
  <c r="I648" i="21"/>
  <c r="I644" i="21"/>
  <c r="I651" i="21"/>
  <c r="I654" i="21"/>
  <c r="I641" i="21"/>
  <c r="I628" i="21"/>
  <c r="I625" i="21"/>
  <c r="I621" i="21"/>
  <c r="I618" i="21"/>
  <c r="I607" i="21"/>
  <c r="I582" i="21"/>
  <c r="I577" i="21"/>
  <c r="I572" i="21"/>
  <c r="I569" i="21"/>
  <c r="I563" i="21"/>
  <c r="I556" i="21"/>
  <c r="I549" i="21"/>
  <c r="I544" i="21"/>
  <c r="I540" i="21"/>
  <c r="I532" i="21"/>
  <c r="I526" i="21"/>
  <c r="I522" i="21"/>
  <c r="I499" i="21"/>
  <c r="I481" i="21"/>
  <c r="I469" i="21"/>
  <c r="I462" i="21"/>
  <c r="I457" i="21"/>
  <c r="I454" i="21"/>
  <c r="I450" i="21"/>
  <c r="I447" i="21"/>
  <c r="I444" i="21"/>
  <c r="I441" i="21"/>
  <c r="I438" i="21"/>
  <c r="I435" i="21"/>
  <c r="I431" i="21"/>
  <c r="I428" i="21"/>
  <c r="I425" i="21"/>
  <c r="I420" i="21"/>
  <c r="I417" i="21"/>
  <c r="I414" i="21"/>
  <c r="I411" i="21"/>
  <c r="I408" i="21"/>
  <c r="I405" i="21"/>
  <c r="I402" i="21"/>
  <c r="I399" i="21"/>
  <c r="I396" i="21"/>
  <c r="I391" i="21"/>
  <c r="I387" i="21"/>
  <c r="I378" i="21"/>
  <c r="I368" i="21"/>
  <c r="I363" i="21"/>
  <c r="I354" i="21"/>
  <c r="I360" i="21"/>
  <c r="I357" i="21"/>
  <c r="I351" i="21"/>
  <c r="I347" i="21"/>
  <c r="I344" i="21"/>
  <c r="I341" i="21"/>
  <c r="I338" i="21"/>
  <c r="I334" i="21"/>
  <c r="I331" i="21"/>
  <c r="I328" i="21"/>
  <c r="I324" i="21"/>
  <c r="I321" i="21"/>
  <c r="I318" i="21"/>
  <c r="I311" i="21"/>
  <c r="I308" i="21"/>
  <c r="I305" i="21"/>
  <c r="I300" i="21"/>
  <c r="I297" i="21"/>
  <c r="I293" i="21"/>
  <c r="I288" i="21"/>
  <c r="I285" i="21"/>
  <c r="I282" i="21"/>
  <c r="I279" i="21"/>
  <c r="I276" i="21"/>
  <c r="I271" i="21"/>
  <c r="I239" i="21"/>
  <c r="I230" i="21"/>
  <c r="I219" i="21"/>
  <c r="I210" i="21"/>
  <c r="I195" i="21"/>
  <c r="I182" i="21"/>
  <c r="I175" i="21"/>
  <c r="I172" i="21"/>
  <c r="I166" i="21"/>
  <c r="J166" i="21" s="1"/>
  <c r="J167" i="21"/>
  <c r="I159" i="21"/>
  <c r="I156" i="21"/>
  <c r="I146" i="21"/>
  <c r="I133" i="21"/>
  <c r="I128" i="21"/>
  <c r="I123" i="21"/>
  <c r="I120" i="21"/>
  <c r="I116" i="21"/>
  <c r="I113" i="21"/>
  <c r="I110" i="21"/>
  <c r="I107" i="21"/>
  <c r="I104" i="21"/>
  <c r="I101" i="21"/>
  <c r="I97" i="21"/>
  <c r="I94" i="21"/>
  <c r="I88" i="21"/>
  <c r="I62" i="21"/>
  <c r="I56" i="21"/>
  <c r="I16" i="21"/>
  <c r="I42" i="21"/>
  <c r="I37" i="21"/>
  <c r="I25" i="21"/>
  <c r="G783" i="8"/>
  <c r="G784" i="8"/>
  <c r="G770" i="8"/>
  <c r="G15" i="8"/>
  <c r="G957" i="8"/>
  <c r="G952" i="8"/>
  <c r="G947" i="8"/>
  <c r="G942" i="8"/>
  <c r="G936" i="8"/>
  <c r="G931" i="8"/>
  <c r="G925" i="8"/>
  <c r="G920" i="8"/>
  <c r="G915" i="8"/>
  <c r="G902" i="8"/>
  <c r="G897" i="8"/>
  <c r="G880" i="8"/>
  <c r="G875" i="8"/>
  <c r="G870" i="8"/>
  <c r="G865" i="8"/>
  <c r="G851" i="8"/>
  <c r="G846" i="8"/>
  <c r="G841" i="8"/>
  <c r="G827" i="8"/>
  <c r="G809" i="8"/>
  <c r="G796" i="8"/>
  <c r="G757" i="8"/>
  <c r="G751" i="8"/>
  <c r="G740" i="8"/>
  <c r="G735" i="8"/>
  <c r="G729" i="8"/>
  <c r="G724" i="8"/>
  <c r="G718" i="8"/>
  <c r="G704" i="8"/>
  <c r="G697" i="8"/>
  <c r="G690" i="8"/>
  <c r="G684" i="8"/>
  <c r="G677" i="8"/>
  <c r="G672" i="8"/>
  <c r="G667" i="8"/>
  <c r="G664" i="8"/>
  <c r="G661" i="8"/>
  <c r="G658" i="8"/>
  <c r="G653" i="8"/>
  <c r="G648" i="8"/>
  <c r="G643" i="8"/>
  <c r="G638" i="8"/>
  <c r="G633" i="8"/>
  <c r="G628" i="8"/>
  <c r="G623" i="8"/>
  <c r="G618" i="8"/>
  <c r="G613" i="8"/>
  <c r="G608" i="8"/>
  <c r="G603" i="8"/>
  <c r="G598" i="8"/>
  <c r="G590" i="8"/>
  <c r="G585" i="8"/>
  <c r="G578" i="8"/>
  <c r="G573" i="8"/>
  <c r="G568" i="8"/>
  <c r="G563" i="8"/>
  <c r="G548" i="8"/>
  <c r="G543" i="8"/>
  <c r="G538" i="8"/>
  <c r="G533" i="8"/>
  <c r="G527" i="8"/>
  <c r="G522" i="8"/>
  <c r="G517" i="8"/>
  <c r="G512" i="8"/>
  <c r="G498" i="8"/>
  <c r="G485" i="8"/>
  <c r="G479" i="8"/>
  <c r="G474" i="8"/>
  <c r="G469" i="8"/>
  <c r="G460" i="8"/>
  <c r="G455" i="8"/>
  <c r="G447" i="8"/>
  <c r="G442" i="8"/>
  <c r="G437" i="8"/>
  <c r="G432" i="8"/>
  <c r="G427" i="8"/>
  <c r="G421" i="8"/>
  <c r="G414" i="8"/>
  <c r="G409" i="8"/>
  <c r="G403" i="8"/>
  <c r="G398" i="8"/>
  <c r="G393" i="8"/>
  <c r="G388" i="8"/>
  <c r="G381" i="8"/>
  <c r="G376" i="8"/>
  <c r="G368" i="8"/>
  <c r="G362" i="8"/>
  <c r="G357" i="8"/>
  <c r="G344" i="8"/>
  <c r="G321" i="8"/>
  <c r="G303" i="8"/>
  <c r="G291" i="8"/>
  <c r="G286" i="8"/>
  <c r="G267" i="8"/>
  <c r="G260" i="8"/>
  <c r="G255" i="8"/>
  <c r="G250" i="8"/>
  <c r="G245" i="8"/>
  <c r="G240" i="8"/>
  <c r="G234" i="8"/>
  <c r="G229" i="8"/>
  <c r="G224" i="8"/>
  <c r="G212" i="8"/>
  <c r="G205" i="8"/>
  <c r="G200" i="8"/>
  <c r="G186" i="8"/>
  <c r="G181" i="8"/>
  <c r="G176" i="8"/>
  <c r="G171" i="8"/>
  <c r="G166" i="8"/>
  <c r="G161" i="8"/>
  <c r="G156" i="8"/>
  <c r="G150" i="8"/>
  <c r="G132" i="8"/>
  <c r="G106" i="8"/>
  <c r="G93" i="8"/>
  <c r="G87" i="8"/>
  <c r="G75" i="8"/>
  <c r="G68" i="8"/>
  <c r="G62" i="8"/>
  <c r="G57" i="8"/>
  <c r="G51" i="8"/>
  <c r="G46" i="8"/>
  <c r="G41" i="8"/>
  <c r="G36" i="8"/>
  <c r="G31" i="8"/>
  <c r="G26" i="8"/>
  <c r="G962" i="8"/>
  <c r="G20" i="8"/>
  <c r="I472" i="21"/>
  <c r="I257" i="21"/>
  <c r="G832" i="8"/>
  <c r="G125" i="8"/>
  <c r="G335" i="8"/>
  <c r="G328" i="8"/>
  <c r="G316" i="8"/>
  <c r="G310" i="8"/>
  <c r="G118" i="8"/>
  <c r="G99" i="8"/>
  <c r="G298" i="8"/>
  <c r="G281" i="8"/>
  <c r="G275" i="8"/>
  <c r="G504" i="8"/>
  <c r="G709" i="8"/>
  <c r="G744" i="8"/>
  <c r="G762" i="8"/>
  <c r="G777" i="8"/>
  <c r="G788" i="8"/>
  <c r="G801" i="8"/>
  <c r="G818" i="8"/>
  <c r="G886" i="8"/>
  <c r="G907" i="8"/>
  <c r="G812" i="8"/>
  <c r="G813" i="8"/>
  <c r="G856" i="8"/>
  <c r="G80" i="8"/>
  <c r="G191" i="8"/>
  <c r="G554" i="8"/>
  <c r="G491" i="8"/>
  <c r="G141" i="8"/>
  <c r="G111" i="8"/>
  <c r="G349" i="8"/>
  <c r="G217" i="8"/>
  <c r="I28" i="21"/>
  <c r="I149" i="21"/>
  <c r="I234" i="21"/>
  <c r="I484" i="21"/>
  <c r="I610" i="21"/>
  <c r="I758" i="21"/>
  <c r="I382" i="21"/>
  <c r="I163" i="21"/>
  <c r="I595" i="21"/>
  <c r="I537" i="21"/>
  <c r="I519" i="21"/>
  <c r="I515" i="21"/>
  <c r="I502" i="21"/>
  <c r="I252" i="21"/>
  <c r="I247" i="21"/>
  <c r="I213" i="21"/>
  <c r="I77" i="21"/>
  <c r="I72" i="21"/>
  <c r="I65" i="21"/>
  <c r="I45" i="21"/>
  <c r="I772" i="21"/>
  <c r="I685" i="21"/>
  <c r="I186" i="21"/>
  <c r="I600" i="21"/>
  <c r="I373" i="21"/>
  <c r="I490" i="21"/>
  <c r="I139" i="21"/>
  <c r="I200" i="21"/>
  <c r="I264" i="21"/>
  <c r="I242" i="21"/>
  <c r="H984" i="20"/>
  <c r="G984" i="20"/>
  <c r="I498" i="21" l="1"/>
  <c r="I24" i="21"/>
  <c r="I23" i="21" s="1"/>
  <c r="I22" i="21" s="1"/>
  <c r="I71" i="21"/>
  <c r="I788" i="21"/>
  <c r="I782" i="21"/>
  <c r="I771" i="21"/>
  <c r="I715" i="21"/>
  <c r="I714" i="21" s="1"/>
  <c r="I720" i="21"/>
  <c r="I719" i="21" s="1"/>
  <c r="I640" i="21"/>
  <c r="I754" i="21"/>
  <c r="I747" i="21"/>
  <c r="I742" i="21"/>
  <c r="I735" i="21"/>
  <c r="I705" i="21"/>
  <c r="I710" i="21"/>
  <c r="I327" i="21"/>
  <c r="I666" i="21"/>
  <c r="I690" i="21"/>
  <c r="I658" i="21"/>
  <c r="I681" i="21"/>
  <c r="I680" i="21" s="1"/>
  <c r="I647" i="21"/>
  <c r="I568" i="21"/>
  <c r="I567" i="21" s="1"/>
  <c r="I624" i="21"/>
  <c r="I617" i="21"/>
  <c r="I599" i="21"/>
  <c r="I594" i="21"/>
  <c r="I589" i="21" s="1"/>
  <c r="I581" i="21"/>
  <c r="I576" i="21"/>
  <c r="I562" i="21"/>
  <c r="I555" i="21"/>
  <c r="I548" i="21"/>
  <c r="I536" i="21"/>
  <c r="I525" i="21"/>
  <c r="I518" i="21"/>
  <c r="I514" i="21"/>
  <c r="I453" i="21"/>
  <c r="I434" i="21"/>
  <c r="I317" i="21"/>
  <c r="I304" i="21"/>
  <c r="I303" i="21" s="1"/>
  <c r="I275" i="21"/>
  <c r="I424" i="21"/>
  <c r="I423" i="21" s="1"/>
  <c r="I395" i="21"/>
  <c r="I337" i="21"/>
  <c r="I497" i="21"/>
  <c r="I489" i="21"/>
  <c r="I480" i="21"/>
  <c r="I468" i="21"/>
  <c r="I467" i="21" s="1"/>
  <c r="I466" i="21" s="1"/>
  <c r="I461" i="21"/>
  <c r="I390" i="21"/>
  <c r="I381" i="21"/>
  <c r="I372" i="21"/>
  <c r="I367" i="21"/>
  <c r="I350" i="21"/>
  <c r="I296" i="21"/>
  <c r="I292" i="21"/>
  <c r="I263" i="21"/>
  <c r="I229" i="21"/>
  <c r="I119" i="21"/>
  <c r="I100" i="21"/>
  <c r="I218" i="21"/>
  <c r="I209" i="21"/>
  <c r="I199" i="21"/>
  <c r="I194" i="21"/>
  <c r="I185" i="21"/>
  <c r="I171" i="21"/>
  <c r="I162" i="21"/>
  <c r="I132" i="21"/>
  <c r="I127" i="21"/>
  <c r="I93" i="21"/>
  <c r="I87" i="21"/>
  <c r="I41" i="21"/>
  <c r="I40" i="21" s="1"/>
  <c r="I61" i="21"/>
  <c r="I60" i="21" s="1"/>
  <c r="I55" i="21"/>
  <c r="I15" i="21"/>
  <c r="I36" i="21"/>
  <c r="G14" i="8"/>
  <c r="G956" i="8"/>
  <c r="G951" i="8"/>
  <c r="G946" i="8"/>
  <c r="G941" i="8"/>
  <c r="G935" i="8"/>
  <c r="G930" i="8"/>
  <c r="G924" i="8"/>
  <c r="G919" i="8"/>
  <c r="G914" i="8"/>
  <c r="G906" i="8"/>
  <c r="G901" i="8"/>
  <c r="G896" i="8"/>
  <c r="G885" i="8"/>
  <c r="G879" i="8"/>
  <c r="G874" i="8"/>
  <c r="G869" i="8"/>
  <c r="G864" i="8"/>
  <c r="G855" i="8"/>
  <c r="G850" i="8"/>
  <c r="G845" i="8"/>
  <c r="G840" i="8"/>
  <c r="G831" i="8"/>
  <c r="G826" i="8"/>
  <c r="G817" i="8"/>
  <c r="G808" i="8"/>
  <c r="G800" i="8"/>
  <c r="G795" i="8"/>
  <c r="G787" i="8"/>
  <c r="G776" i="8"/>
  <c r="G769" i="8"/>
  <c r="G761" i="8"/>
  <c r="G756" i="8"/>
  <c r="G750" i="8"/>
  <c r="G743" i="8"/>
  <c r="G739" i="8"/>
  <c r="G734" i="8"/>
  <c r="G733" i="8" s="1"/>
  <c r="G728" i="8"/>
  <c r="G723" i="8"/>
  <c r="G717" i="8"/>
  <c r="G708" i="8"/>
  <c r="G703" i="8"/>
  <c r="G696" i="8"/>
  <c r="G689" i="8"/>
  <c r="G683" i="8"/>
  <c r="G676" i="8"/>
  <c r="G671" i="8"/>
  <c r="G657" i="8"/>
  <c r="G652" i="8"/>
  <c r="G647" i="8"/>
  <c r="G642" i="8"/>
  <c r="G637" i="8"/>
  <c r="G632" i="8"/>
  <c r="G627" i="8"/>
  <c r="G622" i="8"/>
  <c r="G617" i="8"/>
  <c r="G612" i="8"/>
  <c r="G607" i="8"/>
  <c r="G602" i="8"/>
  <c r="G597" i="8"/>
  <c r="G589" i="8"/>
  <c r="G584" i="8"/>
  <c r="G577" i="8"/>
  <c r="G572" i="8"/>
  <c r="G567" i="8"/>
  <c r="G562" i="8"/>
  <c r="G553" i="8"/>
  <c r="G547" i="8"/>
  <c r="G542" i="8"/>
  <c r="G537" i="8"/>
  <c r="G532" i="8"/>
  <c r="G526" i="8"/>
  <c r="G521" i="8"/>
  <c r="G516" i="8"/>
  <c r="G511" i="8"/>
  <c r="G503" i="8"/>
  <c r="G497" i="8"/>
  <c r="G490" i="8"/>
  <c r="G484" i="8"/>
  <c r="G478" i="8"/>
  <c r="G473" i="8"/>
  <c r="G468" i="8"/>
  <c r="G459" i="8"/>
  <c r="G454" i="8"/>
  <c r="G446" i="8"/>
  <c r="G441" i="8"/>
  <c r="G436" i="8"/>
  <c r="G431" i="8"/>
  <c r="G426" i="8"/>
  <c r="G420" i="8"/>
  <c r="G413" i="8"/>
  <c r="G408" i="8"/>
  <c r="G402" i="8"/>
  <c r="G397" i="8"/>
  <c r="G392" i="8"/>
  <c r="G387" i="8"/>
  <c r="G380" i="8"/>
  <c r="G375" i="8"/>
  <c r="G367" i="8"/>
  <c r="G361" i="8"/>
  <c r="G356" i="8"/>
  <c r="G348" i="8"/>
  <c r="G343" i="8"/>
  <c r="G334" i="8"/>
  <c r="G327" i="8"/>
  <c r="G320" i="8"/>
  <c r="G315" i="8"/>
  <c r="G309" i="8"/>
  <c r="G302" i="8"/>
  <c r="G297" i="8"/>
  <c r="G290" i="8"/>
  <c r="G285" i="8"/>
  <c r="G280" i="8"/>
  <c r="G274" i="8"/>
  <c r="G266" i="8"/>
  <c r="G259" i="8"/>
  <c r="G254" i="8"/>
  <c r="G249" i="8"/>
  <c r="G244" i="8"/>
  <c r="G239" i="8"/>
  <c r="G233" i="8"/>
  <c r="G228" i="8"/>
  <c r="G223" i="8"/>
  <c r="G216" i="8"/>
  <c r="G211" i="8"/>
  <c r="G204" i="8"/>
  <c r="G199" i="8"/>
  <c r="G190" i="8"/>
  <c r="G185" i="8"/>
  <c r="G180" i="8"/>
  <c r="G175" i="8"/>
  <c r="G170" i="8"/>
  <c r="G165" i="8"/>
  <c r="G160" i="8"/>
  <c r="G155" i="8"/>
  <c r="G149" i="8"/>
  <c r="G140" i="8"/>
  <c r="G131" i="8"/>
  <c r="G124" i="8"/>
  <c r="G117" i="8"/>
  <c r="G110" i="8"/>
  <c r="G105" i="8"/>
  <c r="G98" i="8"/>
  <c r="G92" i="8"/>
  <c r="G86" i="8"/>
  <c r="G79" i="8"/>
  <c r="G74" i="8"/>
  <c r="G67" i="8"/>
  <c r="G61" i="8"/>
  <c r="G56" i="8"/>
  <c r="G50" i="8"/>
  <c r="G45" i="8"/>
  <c r="G40" i="8"/>
  <c r="G35" i="8"/>
  <c r="G30" i="8"/>
  <c r="G25" i="8"/>
  <c r="G961" i="8"/>
  <c r="G19" i="8"/>
  <c r="I138" i="21"/>
  <c r="I233" i="21"/>
  <c r="H520" i="20"/>
  <c r="H519" i="20" s="1"/>
  <c r="H539" i="20"/>
  <c r="H538" i="20" s="1"/>
  <c r="H536" i="20"/>
  <c r="H535" i="20" s="1"/>
  <c r="H525" i="20"/>
  <c r="H523" i="20"/>
  <c r="H513" i="20"/>
  <c r="H512" i="20" s="1"/>
  <c r="H510" i="20"/>
  <c r="H509" i="20" s="1"/>
  <c r="H506" i="20"/>
  <c r="H505" i="20" s="1"/>
  <c r="H503" i="20"/>
  <c r="H502" i="20" s="1"/>
  <c r="H500" i="20"/>
  <c r="H499" i="20" s="1"/>
  <c r="H497" i="20"/>
  <c r="H496" i="20" s="1"/>
  <c r="H494" i="20"/>
  <c r="H493" i="20" s="1"/>
  <c r="H491" i="20"/>
  <c r="H490" i="20" s="1"/>
  <c r="H488" i="20"/>
  <c r="H487" i="20" s="1"/>
  <c r="H485" i="20"/>
  <c r="H484" i="20" s="1"/>
  <c r="H482" i="20"/>
  <c r="H481" i="20" s="1"/>
  <c r="H477" i="20"/>
  <c r="H476" i="20" s="1"/>
  <c r="H475" i="20" s="1"/>
  <c r="H474" i="20" s="1"/>
  <c r="H471" i="20"/>
  <c r="H469" i="20"/>
  <c r="H467" i="20"/>
  <c r="I208" i="21" l="1"/>
  <c r="I207" i="21" s="1"/>
  <c r="I513" i="21"/>
  <c r="I512" i="21" s="1"/>
  <c r="I787" i="21"/>
  <c r="I781" i="21"/>
  <c r="I770" i="21"/>
  <c r="I639" i="21"/>
  <c r="I638" i="21" s="1"/>
  <c r="I753" i="21"/>
  <c r="I746" i="21"/>
  <c r="I734" i="21"/>
  <c r="I704" i="21"/>
  <c r="I709" i="21"/>
  <c r="I679" i="21"/>
  <c r="I616" i="21"/>
  <c r="I598" i="21"/>
  <c r="I580" i="21"/>
  <c r="I575" i="21"/>
  <c r="I561" i="21"/>
  <c r="I554" i="21"/>
  <c r="I531" i="21"/>
  <c r="I530" i="21" s="1"/>
  <c r="I479" i="21"/>
  <c r="I316" i="21"/>
  <c r="I315" i="21" s="1"/>
  <c r="I371" i="21"/>
  <c r="I460" i="21"/>
  <c r="I291" i="21"/>
  <c r="I262" i="21"/>
  <c r="I92" i="21"/>
  <c r="I198" i="21"/>
  <c r="I181" i="21"/>
  <c r="I170" i="21"/>
  <c r="I131" i="21"/>
  <c r="I126" i="21"/>
  <c r="I86" i="21"/>
  <c r="I70" i="21"/>
  <c r="I54" i="21"/>
  <c r="I14" i="21"/>
  <c r="I35" i="21"/>
  <c r="G13" i="8"/>
  <c r="G955" i="8"/>
  <c r="G950" i="8"/>
  <c r="G945" i="8"/>
  <c r="G940" i="8"/>
  <c r="G934" i="8"/>
  <c r="G929" i="8"/>
  <c r="G923" i="8"/>
  <c r="G918" i="8"/>
  <c r="G913" i="8"/>
  <c r="G905" i="8"/>
  <c r="G900" i="8"/>
  <c r="G895" i="8"/>
  <c r="G884" i="8"/>
  <c r="G878" i="8"/>
  <c r="G873" i="8"/>
  <c r="G868" i="8"/>
  <c r="G863" i="8"/>
  <c r="G854" i="8"/>
  <c r="G849" i="8"/>
  <c r="G844" i="8"/>
  <c r="G839" i="8"/>
  <c r="G830" i="8"/>
  <c r="G825" i="8"/>
  <c r="G816" i="8"/>
  <c r="G807" i="8"/>
  <c r="G799" i="8"/>
  <c r="G794" i="8"/>
  <c r="G782" i="8"/>
  <c r="G775" i="8"/>
  <c r="G768" i="8"/>
  <c r="G760" i="8"/>
  <c r="G755" i="8"/>
  <c r="G749" i="8"/>
  <c r="G738" i="8"/>
  <c r="G727" i="8"/>
  <c r="G722" i="8"/>
  <c r="G716" i="8"/>
  <c r="G707" i="8"/>
  <c r="G702" i="8"/>
  <c r="G695" i="8"/>
  <c r="G688" i="8"/>
  <c r="G682" i="8"/>
  <c r="G675" i="8"/>
  <c r="G670" i="8"/>
  <c r="G656" i="8"/>
  <c r="G651" i="8"/>
  <c r="G646" i="8"/>
  <c r="G641" i="8"/>
  <c r="G636" i="8"/>
  <c r="G631" i="8"/>
  <c r="G626" i="8"/>
  <c r="G621" i="8"/>
  <c r="G616" i="8"/>
  <c r="G611" i="8"/>
  <c r="G606" i="8"/>
  <c r="G601" i="8"/>
  <c r="G596" i="8"/>
  <c r="G588" i="8"/>
  <c r="G583" i="8"/>
  <c r="G576" i="8"/>
  <c r="G571" i="8"/>
  <c r="G566" i="8"/>
  <c r="G561" i="8"/>
  <c r="G552" i="8"/>
  <c r="G546" i="8"/>
  <c r="G541" i="8"/>
  <c r="G536" i="8"/>
  <c r="G531" i="8"/>
  <c r="G525" i="8"/>
  <c r="G520" i="8"/>
  <c r="G515" i="8"/>
  <c r="G510" i="8"/>
  <c r="G502" i="8"/>
  <c r="G496" i="8"/>
  <c r="G489" i="8"/>
  <c r="G483" i="8"/>
  <c r="G477" i="8"/>
  <c r="G472" i="8"/>
  <c r="G467" i="8"/>
  <c r="G458" i="8"/>
  <c r="G453" i="8"/>
  <c r="G445" i="8"/>
  <c r="G440" i="8"/>
  <c r="G435" i="8"/>
  <c r="G430" i="8"/>
  <c r="G425" i="8"/>
  <c r="G419" i="8"/>
  <c r="G412" i="8"/>
  <c r="G407" i="8"/>
  <c r="G401" i="8"/>
  <c r="G396" i="8"/>
  <c r="G391" i="8"/>
  <c r="G386" i="8"/>
  <c r="G379" i="8"/>
  <c r="G374" i="8"/>
  <c r="G366" i="8"/>
  <c r="G360" i="8"/>
  <c r="G355" i="8"/>
  <c r="G347" i="8"/>
  <c r="G342" i="8"/>
  <c r="G333" i="8"/>
  <c r="G326" i="8"/>
  <c r="G319" i="8"/>
  <c r="G314" i="8"/>
  <c r="G308" i="8"/>
  <c r="G301" i="8"/>
  <c r="G296" i="8"/>
  <c r="G289" i="8"/>
  <c r="G284" i="8"/>
  <c r="G279" i="8"/>
  <c r="G273" i="8"/>
  <c r="G265" i="8"/>
  <c r="G258" i="8"/>
  <c r="G253" i="8"/>
  <c r="G248" i="8"/>
  <c r="G243" i="8"/>
  <c r="G238" i="8"/>
  <c r="G232" i="8"/>
  <c r="G227" i="8"/>
  <c r="G222" i="8"/>
  <c r="G215" i="8"/>
  <c r="G210" i="8"/>
  <c r="G203" i="8"/>
  <c r="G198" i="8"/>
  <c r="G189" i="8"/>
  <c r="G184" i="8"/>
  <c r="G179" i="8"/>
  <c r="G174" i="8"/>
  <c r="G169" i="8"/>
  <c r="G164" i="8"/>
  <c r="G159" i="8"/>
  <c r="G154" i="8"/>
  <c r="G148" i="8"/>
  <c r="G139" i="8"/>
  <c r="G130" i="8"/>
  <c r="G123" i="8"/>
  <c r="G116" i="8"/>
  <c r="G109" i="8"/>
  <c r="G104" i="8"/>
  <c r="G97" i="8"/>
  <c r="G91" i="8"/>
  <c r="G85" i="8"/>
  <c r="G78" i="8"/>
  <c r="G73" i="8"/>
  <c r="G66" i="8"/>
  <c r="G60" i="8"/>
  <c r="G55" i="8"/>
  <c r="G49" i="8"/>
  <c r="G44" i="8"/>
  <c r="G39" i="8"/>
  <c r="G34" i="8"/>
  <c r="G29" i="8"/>
  <c r="G24" i="8"/>
  <c r="G960" i="8"/>
  <c r="G18" i="8"/>
  <c r="H534" i="20"/>
  <c r="H533" i="20" s="1"/>
  <c r="H532" i="20" s="1"/>
  <c r="H522" i="20"/>
  <c r="H518" i="20" s="1"/>
  <c r="H517" i="20" s="1"/>
  <c r="H516" i="20" s="1"/>
  <c r="H508" i="20"/>
  <c r="H480" i="20"/>
  <c r="H466" i="20"/>
  <c r="H465" i="20" s="1"/>
  <c r="H464" i="20" s="1"/>
  <c r="H463" i="20" s="1"/>
  <c r="I531" i="20"/>
  <c r="H530" i="20"/>
  <c r="H529" i="20" s="1"/>
  <c r="G530" i="20"/>
  <c r="G529" i="20" s="1"/>
  <c r="I461" i="20"/>
  <c r="H460" i="20"/>
  <c r="H459" i="20" s="1"/>
  <c r="G460" i="20"/>
  <c r="H455" i="20"/>
  <c r="H453" i="20"/>
  <c r="H450" i="20"/>
  <c r="H449" i="20" s="1"/>
  <c r="H444" i="20"/>
  <c r="H441" i="20"/>
  <c r="H440" i="20" s="1"/>
  <c r="H438" i="20"/>
  <c r="H435" i="20"/>
  <c r="H434" i="20" s="1"/>
  <c r="H429" i="20"/>
  <c r="H426" i="20"/>
  <c r="H425" i="20" s="1"/>
  <c r="H419" i="20"/>
  <c r="H423" i="20"/>
  <c r="H422" i="20" s="1"/>
  <c r="H416" i="20"/>
  <c r="H415" i="20" s="1"/>
  <c r="H408" i="20"/>
  <c r="H407" i="20" s="1"/>
  <c r="H405" i="20"/>
  <c r="H404" i="20" s="1"/>
  <c r="H399" i="20"/>
  <c r="H398" i="20" s="1"/>
  <c r="I786" i="21" l="1"/>
  <c r="I769" i="21"/>
  <c r="I478" i="21"/>
  <c r="I477" i="21" s="1"/>
  <c r="I465" i="21" s="1"/>
  <c r="I566" i="21"/>
  <c r="I752" i="21"/>
  <c r="I751" i="21" s="1"/>
  <c r="I741" i="21"/>
  <c r="I740" i="21" s="1"/>
  <c r="I733" i="21"/>
  <c r="I703" i="21"/>
  <c r="I665" i="21"/>
  <c r="I657" i="21" s="1"/>
  <c r="I637" i="21"/>
  <c r="I615" i="21"/>
  <c r="I588" i="21" s="1"/>
  <c r="I587" i="21" s="1"/>
  <c r="I560" i="21"/>
  <c r="I529" i="21"/>
  <c r="I511" i="21"/>
  <c r="I366" i="21"/>
  <c r="I228" i="21"/>
  <c r="I227" i="21" s="1"/>
  <c r="I394" i="21"/>
  <c r="I274" i="21"/>
  <c r="I180" i="21"/>
  <c r="I169" i="21"/>
  <c r="I85" i="21"/>
  <c r="I59" i="21"/>
  <c r="I53" i="21"/>
  <c r="I13" i="21"/>
  <c r="I34" i="21"/>
  <c r="G939" i="8"/>
  <c r="G928" i="8"/>
  <c r="G912" i="8"/>
  <c r="G806" i="8" s="1"/>
  <c r="G793" i="8"/>
  <c r="G767" i="8"/>
  <c r="G754" i="8"/>
  <c r="G721" i="8"/>
  <c r="G715" i="8"/>
  <c r="G701" i="8"/>
  <c r="G694" i="8"/>
  <c r="G687" i="8"/>
  <c r="G681" i="8"/>
  <c r="G595" i="8"/>
  <c r="G582" i="8"/>
  <c r="G551" i="8"/>
  <c r="G509" i="8"/>
  <c r="G501" i="8"/>
  <c r="G488" i="8"/>
  <c r="G482" i="8"/>
  <c r="G466" i="8"/>
  <c r="G452" i="8"/>
  <c r="G424" i="8"/>
  <c r="G418" i="8"/>
  <c r="G406" i="8"/>
  <c r="G385" i="8"/>
  <c r="G373" i="8"/>
  <c r="G354" i="8"/>
  <c r="G332" i="8"/>
  <c r="G325" i="8"/>
  <c r="G313" i="8"/>
  <c r="G307" i="8"/>
  <c r="G295" i="8"/>
  <c r="G278" i="8"/>
  <c r="G272" i="8"/>
  <c r="G264" i="8"/>
  <c r="G237" i="8"/>
  <c r="G209" i="8"/>
  <c r="G138" i="8"/>
  <c r="G96" i="8"/>
  <c r="G90" i="8"/>
  <c r="G72" i="8"/>
  <c r="G65" i="8"/>
  <c r="G54" i="8"/>
  <c r="G23" i="8"/>
  <c r="G12" i="8"/>
  <c r="H479" i="20"/>
  <c r="I529" i="20"/>
  <c r="I530" i="20"/>
  <c r="I460" i="20"/>
  <c r="G459" i="20"/>
  <c r="I459" i="20" s="1"/>
  <c r="H452" i="20"/>
  <c r="H443" i="20"/>
  <c r="H437" i="20"/>
  <c r="H428" i="20"/>
  <c r="H418" i="20"/>
  <c r="H414" i="20" s="1"/>
  <c r="H421" i="20"/>
  <c r="H403" i="20"/>
  <c r="H397" i="20"/>
  <c r="H390" i="20"/>
  <c r="H389" i="20" s="1"/>
  <c r="H387" i="20"/>
  <c r="H385" i="20"/>
  <c r="H383" i="20"/>
  <c r="H373" i="20"/>
  <c r="H371" i="20"/>
  <c r="H378" i="20"/>
  <c r="H376" i="20"/>
  <c r="H368" i="20"/>
  <c r="H366" i="20"/>
  <c r="H363" i="20"/>
  <c r="H361" i="20"/>
  <c r="H358" i="20"/>
  <c r="H355" i="20"/>
  <c r="H353" i="20"/>
  <c r="H349" i="20"/>
  <c r="I340" i="20"/>
  <c r="H339" i="20"/>
  <c r="H338" i="20" s="1"/>
  <c r="G339" i="20"/>
  <c r="H343" i="20"/>
  <c r="H342" i="20" s="1"/>
  <c r="H334" i="20"/>
  <c r="H332" i="20"/>
  <c r="H329" i="20"/>
  <c r="H328" i="20" s="1"/>
  <c r="H322" i="20"/>
  <c r="H321" i="20" s="1"/>
  <c r="H320" i="20" s="1"/>
  <c r="I315" i="20"/>
  <c r="H314" i="20"/>
  <c r="H313" i="20" s="1"/>
  <c r="G314" i="20"/>
  <c r="H309" i="20"/>
  <c r="H307" i="20"/>
  <c r="H304" i="20"/>
  <c r="H303" i="20" s="1"/>
  <c r="H302" i="20" s="1"/>
  <c r="H360" i="20" l="1"/>
  <c r="H306" i="20"/>
  <c r="H301" i="20" s="1"/>
  <c r="H300" i="20" s="1"/>
  <c r="H299" i="20" s="1"/>
  <c r="I768" i="21"/>
  <c r="I702" i="21"/>
  <c r="I553" i="21"/>
  <c r="I314" i="21"/>
  <c r="I193" i="21"/>
  <c r="I179" i="21"/>
  <c r="I137" i="21"/>
  <c r="I12" i="21"/>
  <c r="I33" i="21"/>
  <c r="G714" i="8"/>
  <c r="G700" i="8"/>
  <c r="G693" i="8"/>
  <c r="G581" i="8"/>
  <c r="G451" i="8"/>
  <c r="G417" i="8"/>
  <c r="G372" i="8"/>
  <c r="G331" i="8"/>
  <c r="G271" i="8"/>
  <c r="G263" i="8"/>
  <c r="G208" i="8"/>
  <c r="G137" i="8"/>
  <c r="G11" i="8"/>
  <c r="H370" i="20"/>
  <c r="H352" i="20"/>
  <c r="H448" i="20"/>
  <c r="H447" i="20" s="1"/>
  <c r="H433" i="20"/>
  <c r="H413" i="20"/>
  <c r="H402" i="20"/>
  <c r="H396" i="20"/>
  <c r="H382" i="20"/>
  <c r="H381" i="20" s="1"/>
  <c r="H375" i="20"/>
  <c r="H365" i="20"/>
  <c r="H357" i="20"/>
  <c r="H348" i="20"/>
  <c r="I339" i="20"/>
  <c r="G338" i="20"/>
  <c r="I338" i="20" s="1"/>
  <c r="H341" i="20"/>
  <c r="H331" i="20"/>
  <c r="H327" i="20" s="1"/>
  <c r="H319" i="20"/>
  <c r="I314" i="20"/>
  <c r="I313" i="20"/>
  <c r="H297" i="20"/>
  <c r="H292" i="20"/>
  <c r="H291" i="20" s="1"/>
  <c r="H285" i="20"/>
  <c r="H284" i="20" s="1"/>
  <c r="H283" i="20" s="1"/>
  <c r="H277" i="20"/>
  <c r="H270" i="20"/>
  <c r="H269" i="20" s="1"/>
  <c r="H263" i="20"/>
  <c r="H262" i="20" s="1"/>
  <c r="H257" i="20"/>
  <c r="H256" i="20" s="1"/>
  <c r="H248" i="20"/>
  <c r="H246" i="20"/>
  <c r="H243" i="20"/>
  <c r="H242" i="20" s="1"/>
  <c r="H235" i="20"/>
  <c r="H234" i="20" s="1"/>
  <c r="H233" i="20" s="1"/>
  <c r="H223" i="20"/>
  <c r="H217" i="20"/>
  <c r="H208" i="20"/>
  <c r="H206" i="20"/>
  <c r="I252" i="20"/>
  <c r="H251" i="20"/>
  <c r="H250" i="20" s="1"/>
  <c r="G251" i="20"/>
  <c r="G250" i="20" s="1"/>
  <c r="I212" i="20"/>
  <c r="H211" i="20"/>
  <c r="H210" i="20" s="1"/>
  <c r="G211" i="20"/>
  <c r="H625" i="20"/>
  <c r="H622" i="20"/>
  <c r="H621" i="20" s="1"/>
  <c r="H616" i="20"/>
  <c r="H613" i="20"/>
  <c r="H608" i="20"/>
  <c r="I603" i="20"/>
  <c r="H602" i="20"/>
  <c r="H601" i="20" s="1"/>
  <c r="G602" i="20"/>
  <c r="H599" i="20"/>
  <c r="H597" i="20"/>
  <c r="H594" i="20"/>
  <c r="H587" i="20"/>
  <c r="H586" i="20" s="1"/>
  <c r="H581" i="20"/>
  <c r="H580" i="20" s="1"/>
  <c r="H575" i="20"/>
  <c r="H584" i="20"/>
  <c r="H583" i="20" s="1"/>
  <c r="H578" i="20"/>
  <c r="H572" i="20"/>
  <c r="H571" i="20" s="1"/>
  <c r="H561" i="20"/>
  <c r="H567" i="20"/>
  <c r="H566" i="20" s="1"/>
  <c r="H564" i="20"/>
  <c r="H558" i="20"/>
  <c r="H555" i="20"/>
  <c r="H549" i="20"/>
  <c r="H546" i="20"/>
  <c r="H545" i="20" s="1"/>
  <c r="I640" i="20"/>
  <c r="H639" i="20"/>
  <c r="H638" i="20" s="1"/>
  <c r="G639" i="20"/>
  <c r="I654" i="20"/>
  <c r="H653" i="20"/>
  <c r="H652" i="20" s="1"/>
  <c r="G653" i="20"/>
  <c r="H636" i="20"/>
  <c r="H635" i="20" s="1"/>
  <c r="H633" i="20"/>
  <c r="H632" i="20" s="1"/>
  <c r="H650" i="20"/>
  <c r="H649" i="20" s="1"/>
  <c r="H647" i="20"/>
  <c r="H646" i="20" s="1"/>
  <c r="H645" i="20" s="1"/>
  <c r="I786" i="20"/>
  <c r="H785" i="20"/>
  <c r="H784" i="20" s="1"/>
  <c r="G785" i="20"/>
  <c r="G784" i="20" s="1"/>
  <c r="H796" i="20"/>
  <c r="H795" i="20" s="1"/>
  <c r="H794" i="20" s="1"/>
  <c r="H793" i="20" s="1"/>
  <c r="H792" i="20" s="1"/>
  <c r="H790" i="20"/>
  <c r="H789" i="20" s="1"/>
  <c r="H788" i="20" s="1"/>
  <c r="H787" i="20" s="1"/>
  <c r="H782" i="20"/>
  <c r="H780" i="20"/>
  <c r="H779" i="20" s="1"/>
  <c r="H777" i="20"/>
  <c r="H775" i="20"/>
  <c r="I813" i="20"/>
  <c r="H812" i="20"/>
  <c r="H811" i="20" s="1"/>
  <c r="G812" i="20"/>
  <c r="G811" i="20" s="1"/>
  <c r="H825" i="20"/>
  <c r="H824" i="20" s="1"/>
  <c r="H823" i="20" s="1"/>
  <c r="H822" i="20" s="1"/>
  <c r="H821" i="20" s="1"/>
  <c r="H820" i="20" s="1"/>
  <c r="H818" i="20"/>
  <c r="H817" i="20" s="1"/>
  <c r="H816" i="20" s="1"/>
  <c r="H815" i="20" s="1"/>
  <c r="H814" i="20" s="1"/>
  <c r="H809" i="20"/>
  <c r="H807" i="20"/>
  <c r="H804" i="20"/>
  <c r="H803" i="20" s="1"/>
  <c r="H983" i="20"/>
  <c r="H982" i="20" s="1"/>
  <c r="H981" i="20" s="1"/>
  <c r="H978" i="20"/>
  <c r="H976" i="20"/>
  <c r="H973" i="20"/>
  <c r="H972" i="20" s="1"/>
  <c r="I510" i="21" l="1"/>
  <c r="I739" i="21"/>
  <c r="I636" i="21"/>
  <c r="I178" i="21"/>
  <c r="I136" i="21"/>
  <c r="G732" i="8"/>
  <c r="G680" i="8"/>
  <c r="G530" i="8"/>
  <c r="G450" i="8"/>
  <c r="G371" i="8"/>
  <c r="G153" i="8"/>
  <c r="G71" i="8"/>
  <c r="H975" i="20"/>
  <c r="H971" i="20" s="1"/>
  <c r="H970" i="20" s="1"/>
  <c r="H969" i="20" s="1"/>
  <c r="H774" i="20"/>
  <c r="H773" i="20" s="1"/>
  <c r="H772" i="20" s="1"/>
  <c r="H771" i="20" s="1"/>
  <c r="H770" i="20" s="1"/>
  <c r="H769" i="20" s="1"/>
  <c r="H446" i="20"/>
  <c r="H412" i="20"/>
  <c r="H401" i="20"/>
  <c r="H395" i="20"/>
  <c r="H380" i="20"/>
  <c r="H351" i="20"/>
  <c r="H347" i="20"/>
  <c r="H326" i="20"/>
  <c r="H325" i="20" s="1"/>
  <c r="H318" i="20"/>
  <c r="H296" i="20"/>
  <c r="H290" i="20"/>
  <c r="H282" i="20"/>
  <c r="H276" i="20"/>
  <c r="H268" i="20"/>
  <c r="H261" i="20"/>
  <c r="H255" i="20"/>
  <c r="I251" i="20"/>
  <c r="I250" i="20"/>
  <c r="H245" i="20"/>
  <c r="H232" i="20"/>
  <c r="H222" i="20"/>
  <c r="H216" i="20"/>
  <c r="H215" i="20" s="1"/>
  <c r="I211" i="20"/>
  <c r="G210" i="20"/>
  <c r="H205" i="20"/>
  <c r="H624" i="20"/>
  <c r="H615" i="20"/>
  <c r="H612" i="20"/>
  <c r="H607" i="20"/>
  <c r="I602" i="20"/>
  <c r="G601" i="20"/>
  <c r="I601" i="20" s="1"/>
  <c r="H596" i="20"/>
  <c r="H593" i="20"/>
  <c r="H574" i="20"/>
  <c r="H577" i="20"/>
  <c r="H560" i="20"/>
  <c r="H563" i="20"/>
  <c r="H557" i="20"/>
  <c r="H554" i="20"/>
  <c r="H548" i="20"/>
  <c r="H644" i="20"/>
  <c r="H643" i="20" s="1"/>
  <c r="H642" i="20" s="1"/>
  <c r="H641" i="20" s="1"/>
  <c r="I639" i="20"/>
  <c r="G638" i="20"/>
  <c r="I653" i="20"/>
  <c r="G652" i="20"/>
  <c r="H631" i="20"/>
  <c r="H630" i="20" s="1"/>
  <c r="I784" i="20"/>
  <c r="I785" i="20"/>
  <c r="I811" i="20"/>
  <c r="I812" i="20"/>
  <c r="H806" i="20"/>
  <c r="H802" i="20" s="1"/>
  <c r="H801" i="20" s="1"/>
  <c r="H800" i="20" s="1"/>
  <c r="H799" i="20" s="1"/>
  <c r="H798" i="20" s="1"/>
  <c r="H980" i="20"/>
  <c r="H592" i="20" l="1"/>
  <c r="I91" i="21"/>
  <c r="G384" i="8"/>
  <c r="G270" i="8"/>
  <c r="G465" i="8"/>
  <c r="H968" i="20"/>
  <c r="H967" i="20" s="1"/>
  <c r="H432" i="20"/>
  <c r="H411" i="20"/>
  <c r="H393" i="20"/>
  <c r="H394" i="20"/>
  <c r="H346" i="20"/>
  <c r="H317" i="20"/>
  <c r="H295" i="20"/>
  <c r="H281" i="20"/>
  <c r="H275" i="20"/>
  <c r="H267" i="20"/>
  <c r="H260" i="20"/>
  <c r="H254" i="20"/>
  <c r="H241" i="20"/>
  <c r="H240" i="20" s="1"/>
  <c r="H231" i="20"/>
  <c r="H221" i="20"/>
  <c r="H220" i="20" s="1"/>
  <c r="H214" i="20"/>
  <c r="I210" i="20"/>
  <c r="H620" i="20"/>
  <c r="H619" i="20" s="1"/>
  <c r="H611" i="20"/>
  <c r="H606" i="20"/>
  <c r="H605" i="20" s="1"/>
  <c r="H570" i="20"/>
  <c r="H553" i="20"/>
  <c r="H544" i="20"/>
  <c r="H543" i="20" s="1"/>
  <c r="I638" i="20"/>
  <c r="I652" i="20"/>
  <c r="H962" i="20"/>
  <c r="H965" i="20"/>
  <c r="H964" i="20" s="1"/>
  <c r="H956" i="20"/>
  <c r="H954" i="20"/>
  <c r="H951" i="20"/>
  <c r="H950" i="20" s="1"/>
  <c r="I946" i="20"/>
  <c r="H945" i="20"/>
  <c r="H944" i="20" s="1"/>
  <c r="G945" i="20"/>
  <c r="G944" i="20" s="1"/>
  <c r="H942" i="20"/>
  <c r="H941" i="20" s="1"/>
  <c r="H933" i="20"/>
  <c r="H927" i="20"/>
  <c r="I921" i="20"/>
  <c r="H920" i="20"/>
  <c r="H919" i="20" s="1"/>
  <c r="G920" i="20"/>
  <c r="G919" i="20" s="1"/>
  <c r="H915" i="20"/>
  <c r="H914" i="20" s="1"/>
  <c r="H912" i="20"/>
  <c r="H911" i="20" s="1"/>
  <c r="H906" i="20"/>
  <c r="H904" i="20"/>
  <c r="H901" i="20"/>
  <c r="H900" i="20" s="1"/>
  <c r="H898" i="20"/>
  <c r="H896" i="20"/>
  <c r="H894" i="20"/>
  <c r="H888" i="20"/>
  <c r="H887" i="20" s="1"/>
  <c r="H884" i="20"/>
  <c r="H883" i="20" s="1"/>
  <c r="H878" i="20"/>
  <c r="H877" i="20" s="1"/>
  <c r="H876" i="20" s="1"/>
  <c r="H875" i="20" s="1"/>
  <c r="H874" i="20" s="1"/>
  <c r="H871" i="20"/>
  <c r="H870" i="20" s="1"/>
  <c r="H869" i="20" s="1"/>
  <c r="H868" i="20" s="1"/>
  <c r="H867" i="20" s="1"/>
  <c r="H864" i="20"/>
  <c r="H863" i="20" s="1"/>
  <c r="H862" i="20" s="1"/>
  <c r="H859" i="20"/>
  <c r="H858" i="20" s="1"/>
  <c r="H855" i="20"/>
  <c r="H854" i="20" s="1"/>
  <c r="I11" i="21" l="1"/>
  <c r="I10" i="21" s="1"/>
  <c r="G10" i="8"/>
  <c r="I920" i="20"/>
  <c r="I919" i="20"/>
  <c r="H473" i="20"/>
  <c r="H462" i="20" s="1"/>
  <c r="H345" i="20"/>
  <c r="H294" i="20"/>
  <c r="H280" i="20"/>
  <c r="H274" i="20"/>
  <c r="H266" i="20"/>
  <c r="H259" i="20"/>
  <c r="H253" i="20"/>
  <c r="H239" i="20"/>
  <c r="H230" i="20"/>
  <c r="H219" i="20"/>
  <c r="H213" i="20"/>
  <c r="H618" i="20"/>
  <c r="H610" i="20"/>
  <c r="H591" i="20"/>
  <c r="H569" i="20"/>
  <c r="H552" i="20"/>
  <c r="H542" i="20"/>
  <c r="H629" i="20"/>
  <c r="H961" i="20"/>
  <c r="H953" i="20"/>
  <c r="I944" i="20"/>
  <c r="I945" i="20"/>
  <c r="H940" i="20"/>
  <c r="H932" i="20"/>
  <c r="H926" i="20"/>
  <c r="H925" i="20" s="1"/>
  <c r="H910" i="20"/>
  <c r="H903" i="20"/>
  <c r="H893" i="20"/>
  <c r="H892" i="20" s="1"/>
  <c r="H882" i="20"/>
  <c r="H851" i="20"/>
  <c r="H850" i="20" s="1"/>
  <c r="H847" i="20"/>
  <c r="H846" i="20" s="1"/>
  <c r="H841" i="20"/>
  <c r="H840" i="20" s="1"/>
  <c r="H837" i="20"/>
  <c r="H836" i="20" s="1"/>
  <c r="H833" i="20"/>
  <c r="H832" i="20" s="1"/>
  <c r="I760" i="20"/>
  <c r="H759" i="20"/>
  <c r="G759" i="20"/>
  <c r="I759" i="20" s="1"/>
  <c r="H767" i="20"/>
  <c r="H765" i="20"/>
  <c r="H763" i="20"/>
  <c r="H754" i="20"/>
  <c r="H752" i="20"/>
  <c r="H749" i="20"/>
  <c r="H748" i="20" s="1"/>
  <c r="H741" i="20"/>
  <c r="H740" i="20" s="1"/>
  <c r="H738" i="20"/>
  <c r="H737" i="20" s="1"/>
  <c r="H735" i="20"/>
  <c r="H734" i="20" s="1"/>
  <c r="H729" i="20"/>
  <c r="H728" i="20" s="1"/>
  <c r="H727" i="20" s="1"/>
  <c r="H725" i="20"/>
  <c r="H724" i="20" s="1"/>
  <c r="H722" i="20"/>
  <c r="H720" i="20"/>
  <c r="H716" i="20"/>
  <c r="H715" i="20" s="1"/>
  <c r="H713" i="20"/>
  <c r="H711" i="20"/>
  <c r="H698" i="20"/>
  <c r="H697" i="20" s="1"/>
  <c r="H701" i="20"/>
  <c r="H700" i="20" s="1"/>
  <c r="H704" i="20"/>
  <c r="H703" i="20" s="1"/>
  <c r="H695" i="20"/>
  <c r="H694" i="20" s="1"/>
  <c r="H691" i="20"/>
  <c r="H690" i="20" s="1"/>
  <c r="H688" i="20"/>
  <c r="H687" i="20" s="1"/>
  <c r="H685" i="20"/>
  <c r="H684" i="20" s="1"/>
  <c r="H681" i="20"/>
  <c r="H680" i="20" s="1"/>
  <c r="H678" i="20"/>
  <c r="H677" i="20" s="1"/>
  <c r="H675" i="20"/>
  <c r="H674" i="20" s="1"/>
  <c r="H668" i="20"/>
  <c r="H667" i="20" s="1"/>
  <c r="H666" i="20" s="1"/>
  <c r="H665" i="20" s="1"/>
  <c r="H664" i="20" s="1"/>
  <c r="H663" i="20" s="1"/>
  <c r="G758" i="20" l="1"/>
  <c r="I758" i="20" s="1"/>
  <c r="H410" i="20"/>
  <c r="H392" i="20" s="1"/>
  <c r="H324" i="20"/>
  <c r="H316" i="20" s="1"/>
  <c r="H289" i="20"/>
  <c r="H273" i="20"/>
  <c r="H265" i="20"/>
  <c r="H238" i="20"/>
  <c r="H604" i="20"/>
  <c r="H590" i="20"/>
  <c r="H628" i="20"/>
  <c r="H960" i="20"/>
  <c r="H949" i="20"/>
  <c r="H939" i="20"/>
  <c r="H931" i="20"/>
  <c r="H924" i="20"/>
  <c r="H909" i="20"/>
  <c r="H908" i="20" s="1"/>
  <c r="H719" i="20"/>
  <c r="H718" i="20" s="1"/>
  <c r="H751" i="20"/>
  <c r="H747" i="20" s="1"/>
  <c r="H746" i="20" s="1"/>
  <c r="H745" i="20" s="1"/>
  <c r="H891" i="20"/>
  <c r="H845" i="20"/>
  <c r="H844" i="20" s="1"/>
  <c r="H843" i="20" s="1"/>
  <c r="H831" i="20"/>
  <c r="H830" i="20" s="1"/>
  <c r="H829" i="20" s="1"/>
  <c r="H762" i="20"/>
  <c r="H761" i="20" s="1"/>
  <c r="H733" i="20"/>
  <c r="H732" i="20" s="1"/>
  <c r="H731" i="20" s="1"/>
  <c r="H710" i="20"/>
  <c r="H709" i="20" s="1"/>
  <c r="H693" i="20"/>
  <c r="H683" i="20"/>
  <c r="H673" i="20"/>
  <c r="H660" i="20"/>
  <c r="I218" i="20"/>
  <c r="I225" i="20"/>
  <c r="I226" i="20"/>
  <c r="I227" i="20"/>
  <c r="I228" i="20"/>
  <c r="I229" i="20"/>
  <c r="I249" i="20"/>
  <c r="I258" i="20"/>
  <c r="I310" i="20"/>
  <c r="I323" i="20"/>
  <c r="I335" i="20"/>
  <c r="I350" i="20"/>
  <c r="I356" i="20"/>
  <c r="I372" i="20"/>
  <c r="I374" i="20"/>
  <c r="I379" i="20"/>
  <c r="I409" i="20"/>
  <c r="I427" i="20"/>
  <c r="I430" i="20"/>
  <c r="I445" i="20"/>
  <c r="I478" i="20"/>
  <c r="I489" i="20"/>
  <c r="I492" i="20"/>
  <c r="I501" i="20"/>
  <c r="I511" i="20"/>
  <c r="I514" i="20"/>
  <c r="I526" i="20"/>
  <c r="I537" i="20"/>
  <c r="I540" i="20"/>
  <c r="I550" i="20"/>
  <c r="I559" i="20"/>
  <c r="I562" i="20"/>
  <c r="I565" i="20"/>
  <c r="I568" i="20"/>
  <c r="I573" i="20"/>
  <c r="I579" i="20"/>
  <c r="I582" i="20"/>
  <c r="I585" i="20"/>
  <c r="I588" i="20"/>
  <c r="I600" i="20"/>
  <c r="I648" i="20"/>
  <c r="I661" i="20"/>
  <c r="I662" i="20"/>
  <c r="I676" i="20"/>
  <c r="I682" i="20"/>
  <c r="I696" i="20"/>
  <c r="I699" i="20"/>
  <c r="I705" i="20"/>
  <c r="I712" i="20"/>
  <c r="I726" i="20"/>
  <c r="I730" i="20"/>
  <c r="I739" i="20"/>
  <c r="I742" i="20"/>
  <c r="I755" i="20"/>
  <c r="I781" i="20"/>
  <c r="I783" i="20"/>
  <c r="I819" i="20"/>
  <c r="I842" i="20"/>
  <c r="I848" i="20"/>
  <c r="I849" i="20"/>
  <c r="I856" i="20"/>
  <c r="I857" i="20"/>
  <c r="I865" i="20"/>
  <c r="I866" i="20"/>
  <c r="I872" i="20"/>
  <c r="I873" i="20"/>
  <c r="I879" i="20"/>
  <c r="I899" i="20"/>
  <c r="I907" i="20"/>
  <c r="I928" i="20"/>
  <c r="I957" i="20"/>
  <c r="I963" i="20"/>
  <c r="I966" i="20"/>
  <c r="I979" i="20"/>
  <c r="I985" i="20"/>
  <c r="H203" i="20"/>
  <c r="H881" i="20" l="1"/>
  <c r="H828" i="20" s="1"/>
  <c r="H744" i="20"/>
  <c r="H708" i="20"/>
  <c r="H707" i="20" s="1"/>
  <c r="H706" i="20" s="1"/>
  <c r="H288" i="20"/>
  <c r="H272" i="20"/>
  <c r="H202" i="20"/>
  <c r="H589" i="20"/>
  <c r="H627" i="20"/>
  <c r="H959" i="20"/>
  <c r="H948" i="20"/>
  <c r="H947" i="20" s="1"/>
  <c r="H938" i="20"/>
  <c r="H937" i="20" s="1"/>
  <c r="H930" i="20"/>
  <c r="H923" i="20"/>
  <c r="H672" i="20"/>
  <c r="H671" i="20" s="1"/>
  <c r="H659" i="20"/>
  <c r="H195" i="20"/>
  <c r="H194" i="20" s="1"/>
  <c r="H193" i="20" s="1"/>
  <c r="H192" i="20" s="1"/>
  <c r="H190" i="20"/>
  <c r="H188" i="20"/>
  <c r="H186" i="20"/>
  <c r="I189" i="20"/>
  <c r="H184" i="20"/>
  <c r="H170" i="20"/>
  <c r="H173" i="20"/>
  <c r="H172" i="20" s="1"/>
  <c r="I171" i="20"/>
  <c r="I174" i="20"/>
  <c r="I178" i="20"/>
  <c r="H177" i="20"/>
  <c r="H176" i="20" s="1"/>
  <c r="H175" i="20" s="1"/>
  <c r="H167" i="20"/>
  <c r="H164" i="20"/>
  <c r="I159" i="20"/>
  <c r="I165" i="20"/>
  <c r="I168" i="20"/>
  <c r="H158" i="20"/>
  <c r="H157" i="20" s="1"/>
  <c r="H156" i="20" s="1"/>
  <c r="H155" i="20" s="1"/>
  <c r="H154" i="20" s="1"/>
  <c r="H670" i="20" l="1"/>
  <c r="H287" i="20"/>
  <c r="H237" i="20"/>
  <c r="H201" i="20"/>
  <c r="H551" i="20"/>
  <c r="H958" i="20"/>
  <c r="H929" i="20"/>
  <c r="H658" i="20"/>
  <c r="H183" i="20"/>
  <c r="H182" i="20" s="1"/>
  <c r="H181" i="20" s="1"/>
  <c r="H180" i="20" s="1"/>
  <c r="H179" i="20" s="1"/>
  <c r="H169" i="20"/>
  <c r="H166" i="20"/>
  <c r="H163" i="20"/>
  <c r="H151" i="20"/>
  <c r="H148" i="20"/>
  <c r="H147" i="20" s="1"/>
  <c r="H143" i="20"/>
  <c r="H140" i="20"/>
  <c r="H137" i="20"/>
  <c r="I132" i="20"/>
  <c r="I135" i="20"/>
  <c r="I138" i="20"/>
  <c r="I141" i="20"/>
  <c r="I152" i="20"/>
  <c r="H134" i="20"/>
  <c r="H133" i="20" s="1"/>
  <c r="H131" i="20"/>
  <c r="H130" i="20" s="1"/>
  <c r="I127" i="20"/>
  <c r="H126" i="20"/>
  <c r="H125" i="20" s="1"/>
  <c r="H124" i="20" s="1"/>
  <c r="H121" i="20"/>
  <c r="I122" i="20"/>
  <c r="H119" i="20"/>
  <c r="H117" i="20"/>
  <c r="I114" i="20"/>
  <c r="H113" i="20"/>
  <c r="H112" i="20" s="1"/>
  <c r="H106" i="20"/>
  <c r="H105" i="20" s="1"/>
  <c r="H101" i="20"/>
  <c r="H100" i="20" s="1"/>
  <c r="I99" i="20"/>
  <c r="I102" i="20"/>
  <c r="H98" i="20"/>
  <c r="H97" i="20" s="1"/>
  <c r="I95" i="20"/>
  <c r="H94" i="20"/>
  <c r="H93" i="20" s="1"/>
  <c r="H91" i="20"/>
  <c r="H90" i="20" s="1"/>
  <c r="I89" i="20"/>
  <c r="I92" i="20"/>
  <c r="H88" i="20"/>
  <c r="H87" i="20" s="1"/>
  <c r="H85" i="20"/>
  <c r="I83" i="20"/>
  <c r="H82" i="20"/>
  <c r="H81" i="20" s="1"/>
  <c r="H79" i="20"/>
  <c r="H78" i="20" s="1"/>
  <c r="H75" i="20"/>
  <c r="H72" i="20"/>
  <c r="H71" i="20" s="1"/>
  <c r="H66" i="20"/>
  <c r="H65" i="20" s="1"/>
  <c r="H63" i="20"/>
  <c r="H62" i="20" s="1"/>
  <c r="H60" i="20"/>
  <c r="H59" i="20" s="1"/>
  <c r="H57" i="20"/>
  <c r="H55" i="20"/>
  <c r="H53" i="20"/>
  <c r="H50" i="20"/>
  <c r="H49" i="20" s="1"/>
  <c r="H47" i="20"/>
  <c r="H45" i="20"/>
  <c r="H43" i="20"/>
  <c r="I31" i="20"/>
  <c r="H279" i="20" l="1"/>
  <c r="H200" i="20"/>
  <c r="H199" i="20" s="1"/>
  <c r="H541" i="20"/>
  <c r="H936" i="20"/>
  <c r="H922" i="20"/>
  <c r="H827" i="20" s="1"/>
  <c r="H657" i="20"/>
  <c r="H116" i="20"/>
  <c r="H115" i="20" s="1"/>
  <c r="H111" i="20" s="1"/>
  <c r="H74" i="20"/>
  <c r="H70" i="20" s="1"/>
  <c r="H162" i="20"/>
  <c r="H150" i="20"/>
  <c r="H142" i="20"/>
  <c r="H136" i="20"/>
  <c r="H104" i="20"/>
  <c r="H96" i="20"/>
  <c r="H84" i="20"/>
  <c r="H52" i="20"/>
  <c r="H42" i="20"/>
  <c r="H30" i="20"/>
  <c r="G30" i="20"/>
  <c r="H935" i="20" l="1"/>
  <c r="H198" i="20"/>
  <c r="H656" i="20"/>
  <c r="G29" i="20"/>
  <c r="H29" i="20"/>
  <c r="I30" i="20"/>
  <c r="H161" i="20"/>
  <c r="H146" i="20"/>
  <c r="H145" i="20" s="1"/>
  <c r="H129" i="20"/>
  <c r="H110" i="20"/>
  <c r="H103" i="20"/>
  <c r="H77" i="20"/>
  <c r="H69" i="20" s="1"/>
  <c r="H41" i="20"/>
  <c r="H40" i="20" s="1"/>
  <c r="H39" i="20" s="1"/>
  <c r="H36" i="20"/>
  <c r="H35" i="20" s="1"/>
  <c r="H34" i="20" s="1"/>
  <c r="H33" i="20" s="1"/>
  <c r="H32" i="20" s="1"/>
  <c r="H27" i="20"/>
  <c r="H25" i="20"/>
  <c r="H22" i="20"/>
  <c r="H21" i="20" s="1"/>
  <c r="H197" i="20" l="1"/>
  <c r="H655" i="20"/>
  <c r="I29" i="20"/>
  <c r="H160" i="20"/>
  <c r="H128" i="20"/>
  <c r="H123" i="20" s="1"/>
  <c r="H109" i="20"/>
  <c r="H38" i="20"/>
  <c r="H24" i="20"/>
  <c r="I51" i="20"/>
  <c r="I58" i="20"/>
  <c r="I61" i="20"/>
  <c r="I64" i="20"/>
  <c r="I68" i="20"/>
  <c r="I73" i="20"/>
  <c r="I76" i="20"/>
  <c r="H16" i="20"/>
  <c r="H15" i="20" s="1"/>
  <c r="H14" i="20" s="1"/>
  <c r="H13" i="20" s="1"/>
  <c r="H12" i="20" s="1"/>
  <c r="H20" i="20" l="1"/>
  <c r="H19" i="20" s="1"/>
  <c r="H18" i="20" s="1"/>
  <c r="H11" i="20" s="1"/>
  <c r="H153" i="20"/>
  <c r="H108" i="20"/>
  <c r="F82" i="8"/>
  <c r="H82" i="8" s="1"/>
  <c r="H215" i="21"/>
  <c r="J215" i="21" s="1"/>
  <c r="G333" i="20"/>
  <c r="I333" i="20" l="1"/>
  <c r="H10" i="20"/>
  <c r="H9" i="20" s="1"/>
  <c r="F277" i="8"/>
  <c r="H277" i="8" s="1"/>
  <c r="F276" i="8"/>
  <c r="H276" i="8" s="1"/>
  <c r="H517" i="21"/>
  <c r="J517" i="21" s="1"/>
  <c r="H516" i="21"/>
  <c r="J516" i="21" s="1"/>
  <c r="G834" i="20"/>
  <c r="G835" i="20"/>
  <c r="I835" i="20" l="1"/>
  <c r="I834" i="20"/>
  <c r="F822" i="8" l="1"/>
  <c r="H822" i="8" s="1"/>
  <c r="F824" i="8"/>
  <c r="H824" i="8" s="1"/>
  <c r="H143" i="21"/>
  <c r="J143" i="21" s="1"/>
  <c r="H145" i="21"/>
  <c r="J145" i="21" s="1"/>
  <c r="G46" i="20"/>
  <c r="G48" i="20"/>
  <c r="I48" i="20" l="1"/>
  <c r="I46" i="20"/>
  <c r="F630" i="8"/>
  <c r="H630" i="8" s="1"/>
  <c r="F620" i="8"/>
  <c r="H620" i="8" s="1"/>
  <c r="H627" i="21"/>
  <c r="J627" i="21" s="1"/>
  <c r="H630" i="21"/>
  <c r="J630" i="21" s="1"/>
  <c r="G614" i="20"/>
  <c r="G617" i="20"/>
  <c r="I614" i="20" l="1"/>
  <c r="I617" i="20"/>
  <c r="F742" i="8"/>
  <c r="H742" i="8" s="1"/>
  <c r="F737" i="8"/>
  <c r="H737" i="8" s="1"/>
  <c r="H27" i="21"/>
  <c r="J27" i="21" s="1"/>
  <c r="H18" i="21"/>
  <c r="J18" i="21" s="1"/>
  <c r="G952" i="20"/>
  <c r="G943" i="20"/>
  <c r="I943" i="20" l="1"/>
  <c r="I952" i="20"/>
  <c r="C29" i="14"/>
  <c r="C25" i="14"/>
  <c r="F330" i="8"/>
  <c r="H330" i="8" s="1"/>
  <c r="F329" i="8"/>
  <c r="H329" i="8" s="1"/>
  <c r="H547" i="21"/>
  <c r="J547" i="21" s="1"/>
  <c r="H546" i="21"/>
  <c r="J546" i="21" s="1"/>
  <c r="G861" i="20"/>
  <c r="G860" i="20"/>
  <c r="F370" i="8"/>
  <c r="H370" i="8" s="1"/>
  <c r="H738" i="21"/>
  <c r="J738" i="21" s="1"/>
  <c r="G934" i="20"/>
  <c r="F300" i="8"/>
  <c r="H300" i="8" s="1"/>
  <c r="F299" i="8"/>
  <c r="H299" i="8" s="1"/>
  <c r="H539" i="21"/>
  <c r="J539" i="21" s="1"/>
  <c r="H538" i="21"/>
  <c r="J538" i="21" s="1"/>
  <c r="G853" i="20"/>
  <c r="G852" i="20"/>
  <c r="F439" i="8"/>
  <c r="H439" i="8" s="1"/>
  <c r="H646" i="21"/>
  <c r="J646" i="21" s="1"/>
  <c r="G420" i="20"/>
  <c r="I420" i="20" l="1"/>
  <c r="I934" i="20"/>
  <c r="I853" i="20"/>
  <c r="I860" i="20"/>
  <c r="I852" i="20"/>
  <c r="I861" i="20"/>
  <c r="F699" i="8"/>
  <c r="H699" i="8" s="1"/>
  <c r="F269" i="8"/>
  <c r="H269" i="8" s="1"/>
  <c r="F95" i="8"/>
  <c r="H95" i="8" s="1"/>
  <c r="H130" i="21"/>
  <c r="J130" i="21" s="1"/>
  <c r="H221" i="21"/>
  <c r="J221" i="21" s="1"/>
  <c r="H750" i="21"/>
  <c r="J750" i="21" s="1"/>
  <c r="G298" i="20"/>
  <c r="G344" i="20"/>
  <c r="G107" i="20"/>
  <c r="I344" i="20" l="1"/>
  <c r="I298" i="20"/>
  <c r="I107" i="20"/>
  <c r="F811" i="8"/>
  <c r="H811" i="8" s="1"/>
  <c r="F814" i="8"/>
  <c r="H731" i="21"/>
  <c r="H90" i="21"/>
  <c r="J90" i="21" s="1"/>
  <c r="G173" i="20"/>
  <c r="G37" i="20"/>
  <c r="H730" i="21" l="1"/>
  <c r="J730" i="21" s="1"/>
  <c r="J731" i="21"/>
  <c r="F813" i="8"/>
  <c r="H813" i="8" s="1"/>
  <c r="H814" i="8"/>
  <c r="I37" i="20"/>
  <c r="G172" i="20"/>
  <c r="I173" i="20"/>
  <c r="F812" i="8"/>
  <c r="H812" i="8" s="1"/>
  <c r="H521" i="21"/>
  <c r="J521" i="21" s="1"/>
  <c r="H520" i="21"/>
  <c r="J520" i="21" s="1"/>
  <c r="F283" i="8"/>
  <c r="H283" i="8" s="1"/>
  <c r="F282" i="8"/>
  <c r="H282" i="8" s="1"/>
  <c r="G839" i="20"/>
  <c r="G838" i="20"/>
  <c r="I838" i="20" l="1"/>
  <c r="I839" i="20"/>
  <c r="I172" i="20"/>
  <c r="F434" i="8"/>
  <c r="H434" i="8" s="1"/>
  <c r="H643" i="21"/>
  <c r="J643" i="21" s="1"/>
  <c r="G417" i="20"/>
  <c r="I417" i="20" l="1"/>
  <c r="F193" i="8"/>
  <c r="H193" i="8" s="1"/>
  <c r="F195" i="8"/>
  <c r="H195" i="8" s="1"/>
  <c r="H202" i="21"/>
  <c r="J202" i="21" s="1"/>
  <c r="H204" i="21"/>
  <c r="J204" i="21" s="1"/>
  <c r="G468" i="20"/>
  <c r="G470" i="20"/>
  <c r="I470" i="20" l="1"/>
  <c r="I468" i="20"/>
  <c r="F786" i="8"/>
  <c r="H786" i="8" s="1"/>
  <c r="F790" i="8"/>
  <c r="H790" i="8" s="1"/>
  <c r="H44" i="21"/>
  <c r="J44" i="21" s="1"/>
  <c r="H47" i="21"/>
  <c r="J47" i="21" s="1"/>
  <c r="G23" i="20"/>
  <c r="G26" i="20"/>
  <c r="I26" i="20" l="1"/>
  <c r="I23" i="20"/>
  <c r="C15" i="14"/>
  <c r="C13" i="14"/>
  <c r="F882" i="8"/>
  <c r="H882" i="8" s="1"/>
  <c r="F858" i="8"/>
  <c r="H858" i="8" s="1"/>
  <c r="F860" i="8"/>
  <c r="H860" i="8" s="1"/>
  <c r="H164" i="21"/>
  <c r="J164" i="21" s="1"/>
  <c r="H188" i="21"/>
  <c r="J188" i="21" s="1"/>
  <c r="H190" i="21"/>
  <c r="J190" i="21" s="1"/>
  <c r="G634" i="20"/>
  <c r="G791" i="20"/>
  <c r="G118" i="20"/>
  <c r="G120" i="20"/>
  <c r="I634" i="20" l="1"/>
  <c r="I791" i="20"/>
  <c r="I120" i="20"/>
  <c r="I118" i="20"/>
  <c r="F635" i="8"/>
  <c r="H635" i="8" s="1"/>
  <c r="F625" i="8"/>
  <c r="H625" i="8" s="1"/>
  <c r="F650" i="8"/>
  <c r="H650" i="8" s="1"/>
  <c r="F640" i="8"/>
  <c r="H640" i="8" s="1"/>
  <c r="H693" i="21"/>
  <c r="J693" i="21" s="1"/>
  <c r="H696" i="21"/>
  <c r="J696" i="21" s="1"/>
  <c r="H440" i="21"/>
  <c r="J440" i="21" s="1"/>
  <c r="H302" i="21"/>
  <c r="J302" i="21" s="1"/>
  <c r="G623" i="20"/>
  <c r="G626" i="20"/>
  <c r="G576" i="20"/>
  <c r="G547" i="20"/>
  <c r="F917" i="8"/>
  <c r="H917" i="8" s="1"/>
  <c r="H791" i="21"/>
  <c r="J791" i="21" s="1"/>
  <c r="G797" i="20"/>
  <c r="I547" i="20" l="1"/>
  <c r="I576" i="20"/>
  <c r="I626" i="20"/>
  <c r="I623" i="20"/>
  <c r="I797" i="20"/>
  <c r="F429" i="8"/>
  <c r="H429" i="8" s="1"/>
  <c r="F423" i="8"/>
  <c r="H423" i="8" s="1"/>
  <c r="H650" i="21"/>
  <c r="J650" i="21" s="1"/>
  <c r="H565" i="21"/>
  <c r="J565" i="21" s="1"/>
  <c r="G424" i="20"/>
  <c r="G400" i="20"/>
  <c r="F692" i="8"/>
  <c r="H692" i="8" s="1"/>
  <c r="F686" i="8"/>
  <c r="H686" i="8" s="1"/>
  <c r="H745" i="21"/>
  <c r="J745" i="21" s="1"/>
  <c r="H579" i="21"/>
  <c r="J579" i="21" s="1"/>
  <c r="G293" i="20"/>
  <c r="G286" i="20"/>
  <c r="F753" i="8"/>
  <c r="H753" i="8" s="1"/>
  <c r="H39" i="21"/>
  <c r="J39" i="21" s="1"/>
  <c r="G17" i="20"/>
  <c r="I400" i="20" l="1"/>
  <c r="I424" i="20"/>
  <c r="I286" i="20"/>
  <c r="I293" i="20"/>
  <c r="I17" i="20"/>
  <c r="C20" i="14"/>
  <c r="C18" i="14"/>
  <c r="F134" i="8"/>
  <c r="H134" i="8" s="1"/>
  <c r="H259" i="21"/>
  <c r="J259" i="21" s="1"/>
  <c r="G377" i="20"/>
  <c r="I377" i="20" l="1"/>
  <c r="F101" i="8"/>
  <c r="H101" i="8" s="1"/>
  <c r="H236" i="21"/>
  <c r="J236" i="21" s="1"/>
  <c r="G354" i="20"/>
  <c r="I354" i="20" l="1"/>
  <c r="F963" i="8"/>
  <c r="H173" i="21"/>
  <c r="H176" i="21"/>
  <c r="G965" i="20"/>
  <c r="F383" i="8"/>
  <c r="H383" i="8" s="1"/>
  <c r="H623" i="21"/>
  <c r="J623" i="21" s="1"/>
  <c r="G916" i="20"/>
  <c r="F550" i="8"/>
  <c r="H550" i="8" s="1"/>
  <c r="H427" i="21"/>
  <c r="J427" i="21" s="1"/>
  <c r="G736" i="20"/>
  <c r="H175" i="21" l="1"/>
  <c r="J175" i="21" s="1"/>
  <c r="J176" i="21"/>
  <c r="H172" i="21"/>
  <c r="J173" i="21"/>
  <c r="F962" i="8"/>
  <c r="H963" i="8"/>
  <c r="I916" i="20"/>
  <c r="G964" i="20"/>
  <c r="I965" i="20"/>
  <c r="I736" i="20"/>
  <c r="F558" i="8"/>
  <c r="H558" i="8" s="1"/>
  <c r="F560" i="8"/>
  <c r="H560" i="8" s="1"/>
  <c r="H494" i="21"/>
  <c r="J494" i="21" s="1"/>
  <c r="H496" i="21"/>
  <c r="J496" i="21" s="1"/>
  <c r="G766" i="20"/>
  <c r="G768" i="20"/>
  <c r="G651" i="20"/>
  <c r="G637" i="20"/>
  <c r="G647" i="20"/>
  <c r="G633" i="20"/>
  <c r="H171" i="21" l="1"/>
  <c r="J172" i="21"/>
  <c r="F961" i="8"/>
  <c r="H962" i="8"/>
  <c r="I964" i="20"/>
  <c r="I768" i="20"/>
  <c r="G650" i="20"/>
  <c r="I651" i="20"/>
  <c r="I766" i="20"/>
  <c r="G636" i="20"/>
  <c r="I637" i="20"/>
  <c r="G632" i="20"/>
  <c r="I633" i="20"/>
  <c r="G646" i="20"/>
  <c r="G645" i="20" s="1"/>
  <c r="G644" i="20" s="1"/>
  <c r="I647" i="20"/>
  <c r="J171" i="21" l="1"/>
  <c r="H170" i="21"/>
  <c r="F960" i="8"/>
  <c r="H960" i="8" s="1"/>
  <c r="H961" i="8"/>
  <c r="I646" i="20"/>
  <c r="I632" i="20"/>
  <c r="G635" i="20"/>
  <c r="I636" i="20"/>
  <c r="G649" i="20"/>
  <c r="I650" i="20"/>
  <c r="F158" i="8"/>
  <c r="H158" i="8" s="1"/>
  <c r="H398" i="21"/>
  <c r="J398" i="21" s="1"/>
  <c r="G483" i="20"/>
  <c r="F400" i="8"/>
  <c r="H400" i="8" s="1"/>
  <c r="F390" i="8"/>
  <c r="H390" i="8" s="1"/>
  <c r="H675" i="21"/>
  <c r="J675" i="21" s="1"/>
  <c r="H669" i="21"/>
  <c r="J669" i="21" s="1"/>
  <c r="G442" i="20"/>
  <c r="G436" i="20"/>
  <c r="F457" i="8"/>
  <c r="H457" i="8" s="1"/>
  <c r="F462" i="8"/>
  <c r="H462" i="8" s="1"/>
  <c r="F464" i="8"/>
  <c r="H464" i="8" s="1"/>
  <c r="H684" i="21"/>
  <c r="J684" i="21" s="1"/>
  <c r="H687" i="21"/>
  <c r="J687" i="21" s="1"/>
  <c r="H689" i="21"/>
  <c r="J689" i="21" s="1"/>
  <c r="G456" i="20"/>
  <c r="G454" i="20"/>
  <c r="G451" i="20"/>
  <c r="F108" i="8"/>
  <c r="H108" i="8" s="1"/>
  <c r="H241" i="21"/>
  <c r="J241" i="21" s="1"/>
  <c r="G359" i="20"/>
  <c r="G322" i="20"/>
  <c r="F706" i="8"/>
  <c r="H706" i="8" s="1"/>
  <c r="H757" i="21"/>
  <c r="J757" i="21" s="1"/>
  <c r="G305" i="20"/>
  <c r="F904" i="8"/>
  <c r="H904" i="8" s="1"/>
  <c r="F720" i="8"/>
  <c r="H720" i="8" s="1"/>
  <c r="F909" i="8"/>
  <c r="H909" i="8" s="1"/>
  <c r="H464" i="21"/>
  <c r="J464" i="21" s="1"/>
  <c r="H135" i="21"/>
  <c r="J135" i="21" s="1"/>
  <c r="H584" i="21"/>
  <c r="J584" i="21" s="1"/>
  <c r="G278" i="20"/>
  <c r="G271" i="20"/>
  <c r="G264" i="20"/>
  <c r="G257" i="20"/>
  <c r="G248" i="20"/>
  <c r="G247" i="20"/>
  <c r="G244" i="20"/>
  <c r="F792" i="8"/>
  <c r="H792" i="8" s="1"/>
  <c r="H49" i="21"/>
  <c r="J49" i="21" s="1"/>
  <c r="G236" i="20"/>
  <c r="G224" i="20"/>
  <c r="G217" i="20"/>
  <c r="G209" i="20"/>
  <c r="G207" i="20"/>
  <c r="G204" i="20"/>
  <c r="H169" i="21" l="1"/>
  <c r="J169" i="21" s="1"/>
  <c r="J170" i="21"/>
  <c r="I483" i="20"/>
  <c r="I649" i="20"/>
  <c r="I451" i="20"/>
  <c r="I305" i="20"/>
  <c r="I359" i="20"/>
  <c r="I454" i="20"/>
  <c r="I436" i="20"/>
  <c r="I248" i="20"/>
  <c r="I278" i="20"/>
  <c r="I456" i="20"/>
  <c r="I442" i="20"/>
  <c r="G235" i="20"/>
  <c r="I236" i="20"/>
  <c r="G270" i="20"/>
  <c r="I271" i="20"/>
  <c r="G256" i="20"/>
  <c r="I257" i="20"/>
  <c r="G206" i="20"/>
  <c r="I207" i="20"/>
  <c r="G246" i="20"/>
  <c r="I247" i="20"/>
  <c r="G208" i="20"/>
  <c r="I209" i="20"/>
  <c r="G216" i="20"/>
  <c r="I217" i="20"/>
  <c r="G203" i="20"/>
  <c r="I204" i="20"/>
  <c r="G223" i="20"/>
  <c r="I224" i="20"/>
  <c r="G243" i="20"/>
  <c r="I244" i="20"/>
  <c r="G263" i="20"/>
  <c r="I264" i="20"/>
  <c r="I635" i="20"/>
  <c r="G631" i="20"/>
  <c r="G630" i="20" s="1"/>
  <c r="I235" i="20"/>
  <c r="G321" i="20"/>
  <c r="I322" i="20"/>
  <c r="G277" i="20"/>
  <c r="G245" i="20"/>
  <c r="I246" i="20" l="1"/>
  <c r="I208" i="20"/>
  <c r="I206" i="20"/>
  <c r="G205" i="20"/>
  <c r="I205" i="20" s="1"/>
  <c r="I270" i="20"/>
  <c r="G234" i="20"/>
  <c r="G269" i="20"/>
  <c r="G268" i="20" s="1"/>
  <c r="I645" i="20"/>
  <c r="G242" i="20"/>
  <c r="I243" i="20"/>
  <c r="G202" i="20"/>
  <c r="G201" i="20" s="1"/>
  <c r="I203" i="20"/>
  <c r="I245" i="20"/>
  <c r="I631" i="20"/>
  <c r="G262" i="20"/>
  <c r="I263" i="20"/>
  <c r="G222" i="20"/>
  <c r="I223" i="20"/>
  <c r="G215" i="20"/>
  <c r="I216" i="20"/>
  <c r="G255" i="20"/>
  <c r="I256" i="20"/>
  <c r="G276" i="20"/>
  <c r="I277" i="20"/>
  <c r="G320" i="20"/>
  <c r="I321" i="20"/>
  <c r="I202" i="20" l="1"/>
  <c r="I242" i="20"/>
  <c r="G241" i="20"/>
  <c r="I241" i="20" s="1"/>
  <c r="I234" i="20"/>
  <c r="G233" i="20"/>
  <c r="G232" i="20" s="1"/>
  <c r="I269" i="20"/>
  <c r="I644" i="20"/>
  <c r="G643" i="20"/>
  <c r="G214" i="20"/>
  <c r="I215" i="20"/>
  <c r="G261" i="20"/>
  <c r="I262" i="20"/>
  <c r="G254" i="20"/>
  <c r="I255" i="20"/>
  <c r="G221" i="20"/>
  <c r="I222" i="20"/>
  <c r="I630" i="20"/>
  <c r="G629" i="20"/>
  <c r="G275" i="20"/>
  <c r="I276" i="20"/>
  <c r="G319" i="20"/>
  <c r="I320" i="20"/>
  <c r="G267" i="20"/>
  <c r="I268" i="20"/>
  <c r="G67" i="20"/>
  <c r="F820" i="8"/>
  <c r="H820" i="8" s="1"/>
  <c r="H141" i="21"/>
  <c r="J141" i="21" s="1"/>
  <c r="G44" i="20"/>
  <c r="G240" i="20" l="1"/>
  <c r="G239" i="20" s="1"/>
  <c r="I233" i="20"/>
  <c r="G642" i="20"/>
  <c r="G641" i="20" s="1"/>
  <c r="I643" i="20"/>
  <c r="G628" i="20"/>
  <c r="I629" i="20"/>
  <c r="G253" i="20"/>
  <c r="I254" i="20"/>
  <c r="G260" i="20"/>
  <c r="I261" i="20"/>
  <c r="G200" i="20"/>
  <c r="I201" i="20"/>
  <c r="G220" i="20"/>
  <c r="I221" i="20"/>
  <c r="G213" i="20"/>
  <c r="I214" i="20"/>
  <c r="G266" i="20"/>
  <c r="I267" i="20"/>
  <c r="G318" i="20"/>
  <c r="I319" i="20"/>
  <c r="G231" i="20"/>
  <c r="I232" i="20"/>
  <c r="G274" i="20"/>
  <c r="I275" i="20"/>
  <c r="I44" i="20"/>
  <c r="I67" i="20"/>
  <c r="F764" i="8"/>
  <c r="H764" i="8" s="1"/>
  <c r="H67" i="21"/>
  <c r="J67" i="21" s="1"/>
  <c r="G977" i="20"/>
  <c r="I240" i="20" l="1"/>
  <c r="I977" i="20"/>
  <c r="I642" i="20"/>
  <c r="I213" i="20"/>
  <c r="I253" i="20"/>
  <c r="I641" i="20"/>
  <c r="G199" i="20"/>
  <c r="I200" i="20"/>
  <c r="I239" i="20"/>
  <c r="G219" i="20"/>
  <c r="I220" i="20"/>
  <c r="G259" i="20"/>
  <c r="I260" i="20"/>
  <c r="G627" i="20"/>
  <c r="I628" i="20"/>
  <c r="G273" i="20"/>
  <c r="I274" i="20"/>
  <c r="G317" i="20"/>
  <c r="I318" i="20"/>
  <c r="G265" i="20"/>
  <c r="I266" i="20"/>
  <c r="G230" i="20"/>
  <c r="I231" i="20"/>
  <c r="F746" i="8"/>
  <c r="H746" i="8" s="1"/>
  <c r="F262" i="8"/>
  <c r="H262" i="8" s="1"/>
  <c r="H30" i="21"/>
  <c r="J30" i="21" s="1"/>
  <c r="H290" i="21"/>
  <c r="J290" i="21" s="1"/>
  <c r="G955" i="20"/>
  <c r="G144" i="20"/>
  <c r="I955" i="20" l="1"/>
  <c r="I219" i="20"/>
  <c r="I259" i="20"/>
  <c r="I317" i="20"/>
  <c r="I627" i="20"/>
  <c r="G238" i="20"/>
  <c r="G983" i="20"/>
  <c r="I984" i="20"/>
  <c r="G198" i="20"/>
  <c r="I199" i="20"/>
  <c r="I230" i="20"/>
  <c r="I265" i="20"/>
  <c r="G272" i="20"/>
  <c r="I273" i="20"/>
  <c r="I144" i="20"/>
  <c r="I272" i="20" l="1"/>
  <c r="I238" i="20"/>
  <c r="I198" i="20"/>
  <c r="G982" i="20"/>
  <c r="I983" i="20"/>
  <c r="G197" i="20"/>
  <c r="G237" i="20"/>
  <c r="F519" i="8"/>
  <c r="H519" i="8" s="1"/>
  <c r="F514" i="8"/>
  <c r="H514" i="8" s="1"/>
  <c r="F539" i="8"/>
  <c r="F487" i="8"/>
  <c r="H487" i="8" s="1"/>
  <c r="H333" i="21"/>
  <c r="J333" i="21" s="1"/>
  <c r="H330" i="21"/>
  <c r="J330" i="21" s="1"/>
  <c r="H295" i="21"/>
  <c r="J295" i="21" s="1"/>
  <c r="H342" i="21"/>
  <c r="G689" i="20"/>
  <c r="G686" i="20"/>
  <c r="G669" i="20"/>
  <c r="G698" i="20"/>
  <c r="H341" i="21" l="1"/>
  <c r="J341" i="21" s="1"/>
  <c r="J342" i="21"/>
  <c r="F538" i="8"/>
  <c r="H539" i="8"/>
  <c r="I237" i="20"/>
  <c r="G697" i="20"/>
  <c r="I698" i="20"/>
  <c r="I197" i="20"/>
  <c r="I686" i="20"/>
  <c r="I689" i="20"/>
  <c r="I669" i="20"/>
  <c r="G981" i="20"/>
  <c r="I982" i="20"/>
  <c r="F351" i="8"/>
  <c r="H351" i="8" s="1"/>
  <c r="F346" i="8"/>
  <c r="H346" i="8" s="1"/>
  <c r="F337" i="8"/>
  <c r="H337" i="8" s="1"/>
  <c r="F339" i="8"/>
  <c r="H339" i="8" s="1"/>
  <c r="H612" i="21"/>
  <c r="J612" i="21" s="1"/>
  <c r="H609" i="21"/>
  <c r="J609" i="21" s="1"/>
  <c r="H602" i="21"/>
  <c r="J602" i="21" s="1"/>
  <c r="H604" i="21"/>
  <c r="J604" i="21" s="1"/>
  <c r="G905" i="20"/>
  <c r="G902" i="20"/>
  <c r="G895" i="20"/>
  <c r="G897" i="20"/>
  <c r="F537" i="8" l="1"/>
  <c r="H538" i="8"/>
  <c r="G980" i="20"/>
  <c r="I981" i="20"/>
  <c r="I897" i="20"/>
  <c r="I895" i="20"/>
  <c r="I902" i="20"/>
  <c r="I905" i="20"/>
  <c r="I697" i="20"/>
  <c r="F28" i="8"/>
  <c r="H28" i="8" s="1"/>
  <c r="F38" i="8"/>
  <c r="H38" i="8" s="1"/>
  <c r="H103" i="21"/>
  <c r="J103" i="21" s="1"/>
  <c r="H109" i="21"/>
  <c r="J109" i="21" s="1"/>
  <c r="G86" i="20"/>
  <c r="G80" i="20"/>
  <c r="F536" i="8" l="1"/>
  <c r="H536" i="8" s="1"/>
  <c r="H537" i="8"/>
  <c r="I980" i="20"/>
  <c r="I80" i="20"/>
  <c r="I86" i="20"/>
  <c r="F411" i="8"/>
  <c r="H411" i="8" s="1"/>
  <c r="F395" i="8"/>
  <c r="H395" i="8" s="1"/>
  <c r="H571" i="21"/>
  <c r="J571" i="21" s="1"/>
  <c r="H672" i="21"/>
  <c r="J672" i="21" s="1"/>
  <c r="G406" i="20"/>
  <c r="G439" i="20"/>
  <c r="I439" i="20" l="1"/>
  <c r="I406" i="20"/>
  <c r="F317" i="8"/>
  <c r="H317" i="8" s="1"/>
  <c r="F318" i="8"/>
  <c r="H318" i="8" s="1"/>
  <c r="F312" i="8"/>
  <c r="H312" i="8" s="1"/>
  <c r="F311" i="8"/>
  <c r="H311" i="8" s="1"/>
  <c r="H593" i="21"/>
  <c r="J593" i="21" s="1"/>
  <c r="H592" i="21"/>
  <c r="J592" i="21" s="1"/>
  <c r="H596" i="21"/>
  <c r="J596" i="21" s="1"/>
  <c r="H597" i="21"/>
  <c r="J597" i="21" s="1"/>
  <c r="G889" i="20"/>
  <c r="G890" i="20"/>
  <c r="G886" i="20"/>
  <c r="G885" i="20"/>
  <c r="F183" i="8"/>
  <c r="H183" i="8" s="1"/>
  <c r="F178" i="8"/>
  <c r="H178" i="8" s="1"/>
  <c r="H413" i="21"/>
  <c r="J413" i="21" s="1"/>
  <c r="H410" i="21"/>
  <c r="J410" i="21" s="1"/>
  <c r="G498" i="20"/>
  <c r="G495" i="20"/>
  <c r="I495" i="20" l="1"/>
  <c r="I498" i="20"/>
  <c r="I885" i="20"/>
  <c r="I890" i="20"/>
  <c r="I886" i="20"/>
  <c r="I889" i="20"/>
  <c r="F145" i="8"/>
  <c r="H145" i="8" s="1"/>
  <c r="F120" i="8"/>
  <c r="H120" i="8" s="1"/>
  <c r="F122" i="8"/>
  <c r="H122" i="8" s="1"/>
  <c r="F113" i="8"/>
  <c r="H113" i="8" s="1"/>
  <c r="F115" i="8"/>
  <c r="H115" i="8" s="1"/>
  <c r="H249" i="21"/>
  <c r="J249" i="21" s="1"/>
  <c r="H251" i="21"/>
  <c r="J251" i="21" s="1"/>
  <c r="H244" i="21"/>
  <c r="J244" i="21" s="1"/>
  <c r="H246" i="21"/>
  <c r="J246" i="21" s="1"/>
  <c r="H268" i="21"/>
  <c r="J268" i="21" s="1"/>
  <c r="G386" i="20"/>
  <c r="G367" i="20"/>
  <c r="G369" i="20"/>
  <c r="G362" i="20"/>
  <c r="G364" i="20"/>
  <c r="I367" i="20" l="1"/>
  <c r="I364" i="20"/>
  <c r="I386" i="20"/>
  <c r="I362" i="20"/>
  <c r="I369" i="20"/>
  <c r="F899" i="8"/>
  <c r="H899" i="8" s="1"/>
  <c r="H785" i="21"/>
  <c r="J785" i="21" s="1"/>
  <c r="G196" i="20"/>
  <c r="F890" i="8"/>
  <c r="H890" i="8" s="1"/>
  <c r="F888" i="8"/>
  <c r="H888" i="8" s="1"/>
  <c r="H776" i="21"/>
  <c r="J776" i="21" s="1"/>
  <c r="H774" i="21"/>
  <c r="J774" i="21" s="1"/>
  <c r="G187" i="20"/>
  <c r="G185" i="20"/>
  <c r="F894" i="8"/>
  <c r="H894" i="8" s="1"/>
  <c r="F891" i="8"/>
  <c r="H891" i="8" s="1"/>
  <c r="H777" i="21"/>
  <c r="J777" i="21" s="1"/>
  <c r="H780" i="21"/>
  <c r="J780" i="21" s="1"/>
  <c r="G191" i="20"/>
  <c r="G188" i="20"/>
  <c r="I187" i="20" l="1"/>
  <c r="I188" i="20"/>
  <c r="I196" i="20"/>
  <c r="I191" i="20"/>
  <c r="I185" i="20"/>
  <c r="F143" i="8"/>
  <c r="H143" i="8" s="1"/>
  <c r="H266" i="21"/>
  <c r="J266" i="21" s="1"/>
  <c r="G384" i="20"/>
  <c r="I384" i="20" l="1"/>
  <c r="F328" i="8"/>
  <c r="H328" i="8" s="1"/>
  <c r="F322" i="8"/>
  <c r="H322" i="8" s="1"/>
  <c r="H545" i="21"/>
  <c r="H541" i="21"/>
  <c r="G859" i="20"/>
  <c r="G855" i="20"/>
  <c r="H544" i="21" l="1"/>
  <c r="J544" i="21" s="1"/>
  <c r="J545" i="21"/>
  <c r="H540" i="21"/>
  <c r="J540" i="21" s="1"/>
  <c r="J541" i="21"/>
  <c r="G858" i="20"/>
  <c r="I859" i="20"/>
  <c r="G854" i="20"/>
  <c r="I855" i="20"/>
  <c r="F327" i="8"/>
  <c r="H327" i="8" s="1"/>
  <c r="F321" i="8"/>
  <c r="H321" i="8" s="1"/>
  <c r="I854" i="20" l="1"/>
  <c r="I858" i="20"/>
  <c r="F320" i="8"/>
  <c r="H320" i="8" s="1"/>
  <c r="F326" i="8"/>
  <c r="H326" i="8" s="1"/>
  <c r="F927" i="8"/>
  <c r="H927" i="8" s="1"/>
  <c r="H310" i="21"/>
  <c r="J310" i="21" s="1"/>
  <c r="G810" i="20"/>
  <c r="G826" i="20"/>
  <c r="I826" i="20" l="1"/>
  <c r="I810" i="20"/>
  <c r="F325" i="8"/>
  <c r="H325" i="8" s="1"/>
  <c r="F319" i="8"/>
  <c r="H319" i="8" s="1"/>
  <c r="F197" i="8"/>
  <c r="H197" i="8" s="1"/>
  <c r="H206" i="21"/>
  <c r="J206" i="21" s="1"/>
  <c r="G472" i="20"/>
  <c r="F88" i="8"/>
  <c r="H88" i="8" s="1"/>
  <c r="H231" i="21"/>
  <c r="G349" i="20"/>
  <c r="H230" i="21" l="1"/>
  <c r="J231" i="21"/>
  <c r="I472" i="20"/>
  <c r="G348" i="20"/>
  <c r="I349" i="20"/>
  <c r="F87" i="8"/>
  <c r="H87" i="8" s="1"/>
  <c r="F953" i="8"/>
  <c r="H312" i="21"/>
  <c r="G151" i="20"/>
  <c r="F534" i="8"/>
  <c r="H339" i="21"/>
  <c r="G695" i="20"/>
  <c r="H311" i="21" l="1"/>
  <c r="J311" i="21" s="1"/>
  <c r="J312" i="21"/>
  <c r="H338" i="21"/>
  <c r="J338" i="21" s="1"/>
  <c r="J339" i="21"/>
  <c r="H229" i="21"/>
  <c r="J229" i="21" s="1"/>
  <c r="J230" i="21"/>
  <c r="F533" i="8"/>
  <c r="H534" i="8"/>
  <c r="F952" i="8"/>
  <c r="H952" i="8" s="1"/>
  <c r="H953" i="8"/>
  <c r="G694" i="20"/>
  <c r="I695" i="20"/>
  <c r="G347" i="20"/>
  <c r="I348" i="20"/>
  <c r="G150" i="20"/>
  <c r="I151" i="20"/>
  <c r="F86" i="8"/>
  <c r="H86" i="8" s="1"/>
  <c r="F235" i="8"/>
  <c r="H235" i="8" s="1"/>
  <c r="H369" i="21"/>
  <c r="G477" i="20"/>
  <c r="H368" i="21" l="1"/>
  <c r="J369" i="21"/>
  <c r="F532" i="8"/>
  <c r="H533" i="8"/>
  <c r="I347" i="20"/>
  <c r="I694" i="20"/>
  <c r="G476" i="20"/>
  <c r="I477" i="20"/>
  <c r="I150" i="20"/>
  <c r="F85" i="8"/>
  <c r="H85" i="8" s="1"/>
  <c r="F234" i="8"/>
  <c r="H234" i="8" s="1"/>
  <c r="H367" i="21" l="1"/>
  <c r="J367" i="21" s="1"/>
  <c r="J368" i="21"/>
  <c r="F531" i="8"/>
  <c r="H531" i="8" s="1"/>
  <c r="H532" i="8"/>
  <c r="G475" i="20"/>
  <c r="I476" i="20"/>
  <c r="F233" i="8"/>
  <c r="H233" i="8" s="1"/>
  <c r="F559" i="8"/>
  <c r="H559" i="8" s="1"/>
  <c r="H495" i="21"/>
  <c r="J495" i="21" s="1"/>
  <c r="H493" i="21"/>
  <c r="J493" i="21" s="1"/>
  <c r="G474" i="20" l="1"/>
  <c r="I475" i="20"/>
  <c r="F557" i="8"/>
  <c r="H557" i="8" s="1"/>
  <c r="F232" i="8"/>
  <c r="H232" i="8" s="1"/>
  <c r="F524" i="8"/>
  <c r="H524" i="8" s="1"/>
  <c r="F508" i="8"/>
  <c r="H508" i="8" s="1"/>
  <c r="H386" i="21"/>
  <c r="J386" i="21" s="1"/>
  <c r="H336" i="21"/>
  <c r="J336" i="21" s="1"/>
  <c r="G723" i="20"/>
  <c r="G692" i="20"/>
  <c r="I474" i="20" l="1"/>
  <c r="I723" i="20"/>
  <c r="I692" i="20"/>
  <c r="F506" i="8"/>
  <c r="H506" i="8" s="1"/>
  <c r="F659" i="8"/>
  <c r="H659" i="8" s="1"/>
  <c r="H384" i="21"/>
  <c r="J384" i="21" s="1"/>
  <c r="H451" i="21"/>
  <c r="G721" i="20"/>
  <c r="G587" i="20"/>
  <c r="H450" i="21" l="1"/>
  <c r="J450" i="21" s="1"/>
  <c r="J451" i="21"/>
  <c r="I721" i="20"/>
  <c r="G586" i="20"/>
  <c r="I587" i="20"/>
  <c r="F658" i="8"/>
  <c r="H658" i="8" s="1"/>
  <c r="F556" i="8"/>
  <c r="H556" i="8" s="1"/>
  <c r="H492" i="21"/>
  <c r="J492" i="21" s="1"/>
  <c r="G764" i="20"/>
  <c r="I586" i="20" l="1"/>
  <c r="I764" i="20"/>
  <c r="F657" i="8"/>
  <c r="H657" i="8" s="1"/>
  <c r="F202" i="8"/>
  <c r="H202" i="8" s="1"/>
  <c r="H419" i="21"/>
  <c r="J419" i="21" s="1"/>
  <c r="G504" i="20"/>
  <c r="I504" i="20" l="1"/>
  <c r="F656" i="8"/>
  <c r="H656" i="8" s="1"/>
  <c r="F102" i="8" l="1"/>
  <c r="H102" i="8" s="1"/>
  <c r="H237" i="21"/>
  <c r="J237" i="21" s="1"/>
  <c r="G355" i="20"/>
  <c r="I355" i="20" l="1"/>
  <c r="F495" i="8"/>
  <c r="H495" i="8" s="1"/>
  <c r="F492" i="8"/>
  <c r="H492" i="8" s="1"/>
  <c r="F476" i="8"/>
  <c r="H476" i="8" s="1"/>
  <c r="H323" i="21"/>
  <c r="J323" i="21" s="1"/>
  <c r="H377" i="21"/>
  <c r="J377" i="21" s="1"/>
  <c r="H374" i="21"/>
  <c r="J374" i="21" s="1"/>
  <c r="G711" i="20"/>
  <c r="G714" i="20"/>
  <c r="G679" i="20"/>
  <c r="I679" i="20" l="1"/>
  <c r="I714" i="20"/>
  <c r="I711" i="20"/>
  <c r="F600" i="8"/>
  <c r="H600" i="8" s="1"/>
  <c r="F609" i="8"/>
  <c r="H609" i="8" s="1"/>
  <c r="H355" i="21"/>
  <c r="H353" i="21"/>
  <c r="J353" i="21" s="1"/>
  <c r="G558" i="20"/>
  <c r="G556" i="20"/>
  <c r="H354" i="21" l="1"/>
  <c r="J354" i="21" s="1"/>
  <c r="J355" i="21"/>
  <c r="I556" i="20"/>
  <c r="G557" i="20"/>
  <c r="I558" i="20"/>
  <c r="F608" i="8"/>
  <c r="H608" i="8" s="1"/>
  <c r="F958" i="8"/>
  <c r="H958" i="8" s="1"/>
  <c r="F668" i="8"/>
  <c r="H668" i="8" s="1"/>
  <c r="F665" i="8"/>
  <c r="H665" i="8" s="1"/>
  <c r="H361" i="21"/>
  <c r="H358" i="21"/>
  <c r="H196" i="21"/>
  <c r="G564" i="20"/>
  <c r="G561" i="20"/>
  <c r="G126" i="20"/>
  <c r="H195" i="21" l="1"/>
  <c r="J196" i="21"/>
  <c r="H357" i="21"/>
  <c r="J357" i="21" s="1"/>
  <c r="J358" i="21"/>
  <c r="H360" i="21"/>
  <c r="J360" i="21" s="1"/>
  <c r="J361" i="21"/>
  <c r="I557" i="20"/>
  <c r="G560" i="20"/>
  <c r="I561" i="20"/>
  <c r="G563" i="20"/>
  <c r="I564" i="20"/>
  <c r="G125" i="20"/>
  <c r="I126" i="20"/>
  <c r="F957" i="8"/>
  <c r="H957" i="8" s="1"/>
  <c r="F664" i="8"/>
  <c r="H664" i="8" s="1"/>
  <c r="F667" i="8"/>
  <c r="H667" i="8" s="1"/>
  <c r="F607" i="8"/>
  <c r="H607" i="8" s="1"/>
  <c r="H194" i="21" l="1"/>
  <c r="J194" i="21" s="1"/>
  <c r="J195" i="21"/>
  <c r="I560" i="20"/>
  <c r="I563" i="20"/>
  <c r="G124" i="20"/>
  <c r="I125" i="20"/>
  <c r="F956" i="8"/>
  <c r="H956" i="8" s="1"/>
  <c r="F606" i="8"/>
  <c r="H606" i="8" s="1"/>
  <c r="I124" i="20" l="1"/>
  <c r="F955" i="8"/>
  <c r="H955" i="8" s="1"/>
  <c r="F147" i="8"/>
  <c r="H147" i="8" s="1"/>
  <c r="H270" i="21"/>
  <c r="J270" i="21" s="1"/>
  <c r="G388" i="20"/>
  <c r="I388" i="20" l="1"/>
  <c r="F500" i="8"/>
  <c r="H500" i="8" s="1"/>
  <c r="H380" i="21"/>
  <c r="J380" i="21" s="1"/>
  <c r="G717" i="20"/>
  <c r="I717" i="20" l="1"/>
  <c r="F750" i="21"/>
  <c r="F749" i="21" s="1"/>
  <c r="F748" i="21" s="1"/>
  <c r="F747" i="21" s="1"/>
  <c r="F746" i="21" s="1"/>
  <c r="G297" i="20"/>
  <c r="G296" i="20" l="1"/>
  <c r="I297" i="20"/>
  <c r="F698" i="8"/>
  <c r="H698" i="8" s="1"/>
  <c r="G750" i="21"/>
  <c r="H749" i="21"/>
  <c r="H748" i="21" l="1"/>
  <c r="J748" i="21" s="1"/>
  <c r="J749" i="21"/>
  <c r="G295" i="20"/>
  <c r="I296" i="20"/>
  <c r="F697" i="8"/>
  <c r="H697" i="8" s="1"/>
  <c r="G749" i="21"/>
  <c r="H747" i="21" l="1"/>
  <c r="J747" i="21" s="1"/>
  <c r="G748" i="21"/>
  <c r="G294" i="20"/>
  <c r="I295" i="20"/>
  <c r="F696" i="8"/>
  <c r="H696" i="8" s="1"/>
  <c r="H746" i="21" l="1"/>
  <c r="G746" i="21" s="1"/>
  <c r="G747" i="21"/>
  <c r="I294" i="20"/>
  <c r="F695" i="8"/>
  <c r="H695" i="8" s="1"/>
  <c r="F867" i="8"/>
  <c r="H867" i="8" s="1"/>
  <c r="H309" i="21"/>
  <c r="H307" i="21"/>
  <c r="G149" i="20"/>
  <c r="H306" i="21" l="1"/>
  <c r="J307" i="21"/>
  <c r="J746" i="21"/>
  <c r="H305" i="21"/>
  <c r="J305" i="21" s="1"/>
  <c r="J306" i="21"/>
  <c r="H308" i="21"/>
  <c r="J308" i="21" s="1"/>
  <c r="J309" i="21"/>
  <c r="I149" i="20"/>
  <c r="F694" i="8"/>
  <c r="H694" i="8" s="1"/>
  <c r="H304" i="21" l="1"/>
  <c r="J304" i="21" s="1"/>
  <c r="F951" i="8"/>
  <c r="H951" i="8" s="1"/>
  <c r="F693" i="8"/>
  <c r="H693" i="8" s="1"/>
  <c r="F152" i="8"/>
  <c r="H152" i="8" s="1"/>
  <c r="H273" i="21"/>
  <c r="J273" i="21" s="1"/>
  <c r="G391" i="20"/>
  <c r="I391" i="20" l="1"/>
  <c r="F950" i="8"/>
  <c r="H950" i="8" s="1"/>
  <c r="F725" i="8"/>
  <c r="H725" i="8" s="1"/>
  <c r="H455" i="21"/>
  <c r="G510" i="20"/>
  <c r="H454" i="21" l="1"/>
  <c r="J454" i="21" s="1"/>
  <c r="J455" i="21"/>
  <c r="G509" i="20"/>
  <c r="I510" i="20"/>
  <c r="F724" i="8"/>
  <c r="H724" i="8" s="1"/>
  <c r="G28" i="20"/>
  <c r="I509" i="20" l="1"/>
  <c r="I28" i="20"/>
  <c r="F723" i="8"/>
  <c r="H723" i="8" s="1"/>
  <c r="F443" i="8"/>
  <c r="H443" i="8" s="1"/>
  <c r="F448" i="8"/>
  <c r="H448" i="8" s="1"/>
  <c r="H655" i="21"/>
  <c r="H652" i="21"/>
  <c r="G426" i="20"/>
  <c r="G429" i="20"/>
  <c r="H651" i="21" l="1"/>
  <c r="J651" i="21" s="1"/>
  <c r="J652" i="21"/>
  <c r="H654" i="21"/>
  <c r="J654" i="21" s="1"/>
  <c r="J655" i="21"/>
  <c r="G425" i="20"/>
  <c r="I426" i="20"/>
  <c r="G428" i="20"/>
  <c r="I429" i="20"/>
  <c r="F447" i="8"/>
  <c r="H447" i="8" s="1"/>
  <c r="F442" i="8"/>
  <c r="H442" i="8" s="1"/>
  <c r="F722" i="8"/>
  <c r="H722" i="8" s="1"/>
  <c r="F774" i="8"/>
  <c r="H774" i="8" s="1"/>
  <c r="F772" i="8"/>
  <c r="H772" i="8" s="1"/>
  <c r="H76" i="21"/>
  <c r="J76" i="21" s="1"/>
  <c r="H74" i="21"/>
  <c r="J74" i="21" s="1"/>
  <c r="G778" i="20"/>
  <c r="G776" i="20"/>
  <c r="I428" i="20" l="1"/>
  <c r="I425" i="20"/>
  <c r="I778" i="20"/>
  <c r="I776" i="20"/>
  <c r="F441" i="8"/>
  <c r="H441" i="8" s="1"/>
  <c r="F446" i="8"/>
  <c r="H446" i="8" s="1"/>
  <c r="F910" i="8"/>
  <c r="H910" i="8" s="1"/>
  <c r="H585" i="21"/>
  <c r="J585" i="21" s="1"/>
  <c r="G878" i="20"/>
  <c r="G877" i="20" l="1"/>
  <c r="I878" i="20"/>
  <c r="F445" i="8"/>
  <c r="H445" i="8" s="1"/>
  <c r="F440" i="8"/>
  <c r="H440" i="8" s="1"/>
  <c r="I877" i="20" l="1"/>
  <c r="G876" i="20"/>
  <c r="G875" i="20"/>
  <c r="I875" i="20" l="1"/>
  <c r="I876" i="20"/>
  <c r="G874" i="20"/>
  <c r="I874" i="20" l="1"/>
  <c r="G884" i="20"/>
  <c r="H591" i="21"/>
  <c r="F310" i="8"/>
  <c r="H310" i="8" s="1"/>
  <c r="F679" i="8"/>
  <c r="H679" i="8" s="1"/>
  <c r="H528" i="21"/>
  <c r="J528" i="21" s="1"/>
  <c r="G609" i="20"/>
  <c r="F163" i="8"/>
  <c r="H163" i="8" s="1"/>
  <c r="H401" i="21"/>
  <c r="J401" i="21" s="1"/>
  <c r="G486" i="20"/>
  <c r="F121" i="8"/>
  <c r="H121" i="8" s="1"/>
  <c r="F114" i="8"/>
  <c r="H114" i="8" s="1"/>
  <c r="H250" i="21"/>
  <c r="J250" i="21" s="1"/>
  <c r="H245" i="21"/>
  <c r="J245" i="21" s="1"/>
  <c r="G368" i="20"/>
  <c r="G363" i="20"/>
  <c r="J591" i="21" l="1"/>
  <c r="H590" i="21"/>
  <c r="I368" i="20"/>
  <c r="I609" i="20"/>
  <c r="I486" i="20"/>
  <c r="I363" i="20"/>
  <c r="I884" i="20"/>
  <c r="F287" i="8"/>
  <c r="H287" i="8" s="1"/>
  <c r="H523" i="21"/>
  <c r="G841" i="20"/>
  <c r="H522" i="21" l="1"/>
  <c r="J522" i="21" s="1"/>
  <c r="J523" i="21"/>
  <c r="G840" i="20"/>
  <c r="I841" i="20"/>
  <c r="F286" i="8"/>
  <c r="H286" i="8" s="1"/>
  <c r="F230" i="8"/>
  <c r="H230" i="8" s="1"/>
  <c r="F225" i="8"/>
  <c r="H225" i="8" s="1"/>
  <c r="H663" i="21"/>
  <c r="H660" i="21"/>
  <c r="G539" i="20"/>
  <c r="G536" i="20"/>
  <c r="H662" i="21" l="1"/>
  <c r="J662" i="21" s="1"/>
  <c r="J663" i="21"/>
  <c r="H659" i="21"/>
  <c r="J659" i="21" s="1"/>
  <c r="J660" i="21"/>
  <c r="G535" i="20"/>
  <c r="I536" i="20"/>
  <c r="G538" i="20"/>
  <c r="I539" i="20"/>
  <c r="I840" i="20"/>
  <c r="F224" i="8"/>
  <c r="H224" i="8" s="1"/>
  <c r="F229" i="8"/>
  <c r="H229" i="8" s="1"/>
  <c r="F285" i="8"/>
  <c r="H285" i="8" s="1"/>
  <c r="H658" i="21" l="1"/>
  <c r="J658" i="21" s="1"/>
  <c r="I538" i="20"/>
  <c r="I535" i="20"/>
  <c r="G534" i="20"/>
  <c r="F228" i="8"/>
  <c r="H228" i="8" s="1"/>
  <c r="F284" i="8"/>
  <c r="H284" i="8" s="1"/>
  <c r="F223" i="8"/>
  <c r="H223" i="8" s="1"/>
  <c r="F932" i="8"/>
  <c r="H932" i="8" s="1"/>
  <c r="H722" i="21"/>
  <c r="G164" i="20"/>
  <c r="H721" i="21" l="1"/>
  <c r="J721" i="21" s="1"/>
  <c r="J722" i="21"/>
  <c r="G533" i="20"/>
  <c r="I534" i="20"/>
  <c r="G163" i="20"/>
  <c r="I164" i="20"/>
  <c r="F931" i="8"/>
  <c r="H931" i="8" s="1"/>
  <c r="F222" i="8"/>
  <c r="H222" i="8" s="1"/>
  <c r="F227" i="8"/>
  <c r="H227" i="8" s="1"/>
  <c r="G532" i="20" l="1"/>
  <c r="I533" i="20"/>
  <c r="I163" i="20"/>
  <c r="F930" i="8"/>
  <c r="H930" i="8" s="1"/>
  <c r="F207" i="8"/>
  <c r="H207" i="8" s="1"/>
  <c r="H422" i="21"/>
  <c r="J422" i="21" s="1"/>
  <c r="G507" i="20"/>
  <c r="I507" i="20" l="1"/>
  <c r="I532" i="20"/>
  <c r="F929" i="8"/>
  <c r="H929" i="8" s="1"/>
  <c r="F662" i="8"/>
  <c r="H662" i="8" s="1"/>
  <c r="F948" i="8"/>
  <c r="H948" i="8" s="1"/>
  <c r="F943" i="8"/>
  <c r="H943" i="8" s="1"/>
  <c r="F937" i="8"/>
  <c r="H937" i="8" s="1"/>
  <c r="F926" i="8"/>
  <c r="H926" i="8" s="1"/>
  <c r="F921" i="8"/>
  <c r="H921" i="8" s="1"/>
  <c r="F916" i="8"/>
  <c r="H916" i="8" s="1"/>
  <c r="F908" i="8"/>
  <c r="H908" i="8" s="1"/>
  <c r="F903" i="8"/>
  <c r="H903" i="8" s="1"/>
  <c r="F898" i="8"/>
  <c r="H898" i="8" s="1"/>
  <c r="F893" i="8"/>
  <c r="H893" i="8" s="1"/>
  <c r="F889" i="8"/>
  <c r="H889" i="8" s="1"/>
  <c r="F881" i="8"/>
  <c r="H881" i="8" s="1"/>
  <c r="F876" i="8"/>
  <c r="H876" i="8" s="1"/>
  <c r="F871" i="8"/>
  <c r="H871" i="8" s="1"/>
  <c r="F866" i="8"/>
  <c r="H866" i="8" s="1"/>
  <c r="F861" i="8"/>
  <c r="H861" i="8" s="1"/>
  <c r="F859" i="8"/>
  <c r="H859" i="8" s="1"/>
  <c r="F857" i="8"/>
  <c r="H857" i="8" s="1"/>
  <c r="F852" i="8"/>
  <c r="H852" i="8" s="1"/>
  <c r="F847" i="8"/>
  <c r="H847" i="8" s="1"/>
  <c r="F842" i="8"/>
  <c r="H842" i="8" s="1"/>
  <c r="F837" i="8"/>
  <c r="H837" i="8" s="1"/>
  <c r="F835" i="8"/>
  <c r="H835" i="8" s="1"/>
  <c r="F833" i="8"/>
  <c r="H833" i="8" s="1"/>
  <c r="F828" i="8"/>
  <c r="H828" i="8" s="1"/>
  <c r="F823" i="8"/>
  <c r="H823" i="8" s="1"/>
  <c r="F821" i="8"/>
  <c r="H821" i="8" s="1"/>
  <c r="F819" i="8"/>
  <c r="H819" i="8" s="1"/>
  <c r="F810" i="8"/>
  <c r="H810" i="8" s="1"/>
  <c r="F804" i="8"/>
  <c r="H804" i="8" s="1"/>
  <c r="F802" i="8"/>
  <c r="H802" i="8" s="1"/>
  <c r="F797" i="8"/>
  <c r="H797" i="8" s="1"/>
  <c r="F791" i="8"/>
  <c r="H791" i="8" s="1"/>
  <c r="F789" i="8"/>
  <c r="H789" i="8" s="1"/>
  <c r="F785" i="8"/>
  <c r="F784" i="8" s="1"/>
  <c r="F780" i="8"/>
  <c r="H780" i="8" s="1"/>
  <c r="F778" i="8"/>
  <c r="H778" i="8" s="1"/>
  <c r="F773" i="8"/>
  <c r="H773" i="8" s="1"/>
  <c r="F771" i="8"/>
  <c r="F765" i="8"/>
  <c r="H765" i="8" s="1"/>
  <c r="F763" i="8"/>
  <c r="H763" i="8" s="1"/>
  <c r="F758" i="8"/>
  <c r="H758" i="8" s="1"/>
  <c r="F752" i="8"/>
  <c r="H752" i="8" s="1"/>
  <c r="F747" i="8"/>
  <c r="H747" i="8" s="1"/>
  <c r="F745" i="8"/>
  <c r="H745" i="8" s="1"/>
  <c r="F741" i="8"/>
  <c r="H741" i="8" s="1"/>
  <c r="F736" i="8"/>
  <c r="H736" i="8" s="1"/>
  <c r="F730" i="8"/>
  <c r="H730" i="8" s="1"/>
  <c r="F719" i="8"/>
  <c r="H719" i="8" s="1"/>
  <c r="F712" i="8"/>
  <c r="H712" i="8" s="1"/>
  <c r="F711" i="8"/>
  <c r="H711" i="8" s="1"/>
  <c r="F691" i="8"/>
  <c r="H691" i="8" s="1"/>
  <c r="F685" i="8"/>
  <c r="H685" i="8" s="1"/>
  <c r="F678" i="8"/>
  <c r="H678" i="8" s="1"/>
  <c r="F673" i="8"/>
  <c r="H673" i="8" s="1"/>
  <c r="F654" i="8"/>
  <c r="H654" i="8" s="1"/>
  <c r="F649" i="8"/>
  <c r="H649" i="8" s="1"/>
  <c r="F644" i="8"/>
  <c r="H644" i="8" s="1"/>
  <c r="F639" i="8"/>
  <c r="H639" i="8" s="1"/>
  <c r="F634" i="8"/>
  <c r="H634" i="8" s="1"/>
  <c r="F629" i="8"/>
  <c r="H629" i="8" s="1"/>
  <c r="F624" i="8"/>
  <c r="F619" i="8"/>
  <c r="H619" i="8" s="1"/>
  <c r="F614" i="8"/>
  <c r="H614" i="8" s="1"/>
  <c r="F604" i="8"/>
  <c r="H604" i="8" s="1"/>
  <c r="F599" i="8"/>
  <c r="H599" i="8" s="1"/>
  <c r="F593" i="8"/>
  <c r="H593" i="8" s="1"/>
  <c r="F591" i="8"/>
  <c r="H591" i="8" s="1"/>
  <c r="F586" i="8"/>
  <c r="H586" i="8" s="1"/>
  <c r="F579" i="8"/>
  <c r="H579" i="8" s="1"/>
  <c r="F574" i="8"/>
  <c r="H574" i="8" s="1"/>
  <c r="F569" i="8"/>
  <c r="H569" i="8" s="1"/>
  <c r="F564" i="8"/>
  <c r="H564" i="8" s="1"/>
  <c r="F555" i="8"/>
  <c r="H555" i="8" s="1"/>
  <c r="F549" i="8"/>
  <c r="H549" i="8" s="1"/>
  <c r="F544" i="8"/>
  <c r="H544" i="8" s="1"/>
  <c r="F528" i="8"/>
  <c r="H528" i="8" s="1"/>
  <c r="F523" i="8"/>
  <c r="H523" i="8" s="1"/>
  <c r="F518" i="8"/>
  <c r="H518" i="8" s="1"/>
  <c r="F513" i="8"/>
  <c r="H513" i="8" s="1"/>
  <c r="F507" i="8"/>
  <c r="H507" i="8" s="1"/>
  <c r="F505" i="8"/>
  <c r="H505" i="8" s="1"/>
  <c r="F499" i="8"/>
  <c r="H499" i="8" s="1"/>
  <c r="F494" i="8"/>
  <c r="H494" i="8" s="1"/>
  <c r="F486" i="8"/>
  <c r="H486" i="8" s="1"/>
  <c r="F480" i="8"/>
  <c r="H480" i="8" s="1"/>
  <c r="F475" i="8"/>
  <c r="H475" i="8" s="1"/>
  <c r="F470" i="8"/>
  <c r="H470" i="8" s="1"/>
  <c r="F463" i="8"/>
  <c r="H463" i="8" s="1"/>
  <c r="F438" i="8"/>
  <c r="H438" i="8" s="1"/>
  <c r="F433" i="8"/>
  <c r="H433" i="8" s="1"/>
  <c r="F428" i="8"/>
  <c r="H428" i="8" s="1"/>
  <c r="F422" i="8"/>
  <c r="H422" i="8" s="1"/>
  <c r="F415" i="8"/>
  <c r="H415" i="8" s="1"/>
  <c r="F410" i="8"/>
  <c r="H410" i="8" s="1"/>
  <c r="F404" i="8"/>
  <c r="H404" i="8" s="1"/>
  <c r="F399" i="8"/>
  <c r="H399" i="8" s="1"/>
  <c r="F394" i="8"/>
  <c r="H394" i="8" s="1"/>
  <c r="F389" i="8"/>
  <c r="H389" i="8" s="1"/>
  <c r="F378" i="8"/>
  <c r="H378" i="8" s="1"/>
  <c r="F369" i="8"/>
  <c r="H369" i="8" s="1"/>
  <c r="F363" i="8"/>
  <c r="H363" i="8" s="1"/>
  <c r="F358" i="8"/>
  <c r="H358" i="8" s="1"/>
  <c r="F352" i="8"/>
  <c r="H352" i="8" s="1"/>
  <c r="F350" i="8"/>
  <c r="H350" i="8" s="1"/>
  <c r="F345" i="8"/>
  <c r="F340" i="8"/>
  <c r="H340" i="8" s="1"/>
  <c r="F316" i="8"/>
  <c r="H316" i="8" s="1"/>
  <c r="F309" i="8"/>
  <c r="H309" i="8" s="1"/>
  <c r="F304" i="8"/>
  <c r="H304" i="8" s="1"/>
  <c r="F298" i="8"/>
  <c r="H298" i="8" s="1"/>
  <c r="F292" i="8"/>
  <c r="H292" i="8" s="1"/>
  <c r="F281" i="8"/>
  <c r="H281" i="8" s="1"/>
  <c r="F268" i="8"/>
  <c r="H268" i="8" s="1"/>
  <c r="F261" i="8"/>
  <c r="H261" i="8" s="1"/>
  <c r="F256" i="8"/>
  <c r="H256" i="8" s="1"/>
  <c r="F251" i="8"/>
  <c r="H251" i="8" s="1"/>
  <c r="F246" i="8"/>
  <c r="H246" i="8" s="1"/>
  <c r="F241" i="8"/>
  <c r="H241" i="8" s="1"/>
  <c r="F220" i="8"/>
  <c r="H220" i="8" s="1"/>
  <c r="F219" i="8"/>
  <c r="H219" i="8" s="1"/>
  <c r="F214" i="8"/>
  <c r="H214" i="8" s="1"/>
  <c r="F206" i="8"/>
  <c r="H206" i="8" s="1"/>
  <c r="F201" i="8"/>
  <c r="H201" i="8" s="1"/>
  <c r="F196" i="8"/>
  <c r="H196" i="8" s="1"/>
  <c r="F192" i="8"/>
  <c r="H192" i="8" s="1"/>
  <c r="F187" i="8"/>
  <c r="H187" i="8" s="1"/>
  <c r="F182" i="8"/>
  <c r="H182" i="8" s="1"/>
  <c r="F177" i="8"/>
  <c r="H177" i="8" s="1"/>
  <c r="F172" i="8"/>
  <c r="H172" i="8" s="1"/>
  <c r="F167" i="8"/>
  <c r="H167" i="8" s="1"/>
  <c r="F162" i="8"/>
  <c r="H162" i="8" s="1"/>
  <c r="F157" i="8"/>
  <c r="H157" i="8" s="1"/>
  <c r="F151" i="8"/>
  <c r="H151" i="8" s="1"/>
  <c r="F146" i="8"/>
  <c r="H146" i="8" s="1"/>
  <c r="F144" i="8"/>
  <c r="H144" i="8" s="1"/>
  <c r="F142" i="8"/>
  <c r="H142" i="8" s="1"/>
  <c r="F135" i="8"/>
  <c r="H135" i="8" s="1"/>
  <c r="F133" i="8"/>
  <c r="H133" i="8" s="1"/>
  <c r="F128" i="8"/>
  <c r="H128" i="8" s="1"/>
  <c r="F126" i="8"/>
  <c r="H126" i="8" s="1"/>
  <c r="F119" i="8"/>
  <c r="H119" i="8" s="1"/>
  <c r="F112" i="8"/>
  <c r="H112" i="8" s="1"/>
  <c r="F107" i="8"/>
  <c r="H107" i="8" s="1"/>
  <c r="F100" i="8"/>
  <c r="H100" i="8" s="1"/>
  <c r="F94" i="8"/>
  <c r="H94" i="8" s="1"/>
  <c r="F83" i="8"/>
  <c r="H83" i="8" s="1"/>
  <c r="F81" i="8"/>
  <c r="H81" i="8" s="1"/>
  <c r="F76" i="8"/>
  <c r="H76" i="8" s="1"/>
  <c r="F69" i="8"/>
  <c r="H69" i="8" s="1"/>
  <c r="F63" i="8"/>
  <c r="H63" i="8" s="1"/>
  <c r="F58" i="8"/>
  <c r="H58" i="8" s="1"/>
  <c r="F52" i="8"/>
  <c r="H52" i="8" s="1"/>
  <c r="F47" i="8"/>
  <c r="H47" i="8" s="1"/>
  <c r="F42" i="8"/>
  <c r="H42" i="8" s="1"/>
  <c r="F37" i="8"/>
  <c r="H37" i="8" s="1"/>
  <c r="F32" i="8"/>
  <c r="H32" i="8" s="1"/>
  <c r="F27" i="8"/>
  <c r="H27" i="8" s="1"/>
  <c r="F21" i="8"/>
  <c r="H21" i="8" s="1"/>
  <c r="F16" i="8"/>
  <c r="H16" i="8" s="1"/>
  <c r="G449" i="21"/>
  <c r="H448" i="21"/>
  <c r="F448" i="21"/>
  <c r="F447" i="21" s="1"/>
  <c r="G18" i="21"/>
  <c r="G32" i="21"/>
  <c r="G39" i="21"/>
  <c r="G44" i="21"/>
  <c r="G47" i="21"/>
  <c r="G49" i="21"/>
  <c r="G58" i="21"/>
  <c r="G69" i="21"/>
  <c r="G76" i="21"/>
  <c r="G79" i="21"/>
  <c r="G81" i="21"/>
  <c r="G90" i="21"/>
  <c r="G96" i="21"/>
  <c r="G99" i="21"/>
  <c r="G103" i="21"/>
  <c r="G106" i="21"/>
  <c r="G109" i="21"/>
  <c r="G112" i="21"/>
  <c r="G115" i="21"/>
  <c r="G118" i="21"/>
  <c r="G122" i="21"/>
  <c r="G125" i="21"/>
  <c r="G130" i="21"/>
  <c r="G135" i="21"/>
  <c r="G145" i="21"/>
  <c r="G148" i="21"/>
  <c r="G155" i="21"/>
  <c r="G158" i="21"/>
  <c r="G161" i="21"/>
  <c r="G166" i="21"/>
  <c r="G167" i="21"/>
  <c r="G168" i="21"/>
  <c r="G169" i="21"/>
  <c r="G170" i="21"/>
  <c r="G171" i="21"/>
  <c r="G172" i="21"/>
  <c r="G173" i="21"/>
  <c r="G174" i="21"/>
  <c r="G184" i="21"/>
  <c r="G192" i="21"/>
  <c r="G206" i="21"/>
  <c r="G215" i="21"/>
  <c r="G217" i="21"/>
  <c r="G221" i="21"/>
  <c r="G236" i="21"/>
  <c r="G244" i="21"/>
  <c r="G249" i="21"/>
  <c r="G254" i="21"/>
  <c r="G256" i="21"/>
  <c r="G259" i="21"/>
  <c r="G261" i="21"/>
  <c r="G270" i="21"/>
  <c r="G273" i="21"/>
  <c r="G278" i="21"/>
  <c r="G281" i="21"/>
  <c r="G284" i="21"/>
  <c r="G287" i="21"/>
  <c r="G290" i="21"/>
  <c r="G295" i="21"/>
  <c r="G299" i="21"/>
  <c r="G302" i="21"/>
  <c r="G305" i="21"/>
  <c r="G306" i="21"/>
  <c r="G307" i="21"/>
  <c r="G308" i="21"/>
  <c r="G309" i="21"/>
  <c r="G310" i="21"/>
  <c r="G320" i="21"/>
  <c r="G323" i="21"/>
  <c r="G326" i="21"/>
  <c r="G330" i="21"/>
  <c r="G333" i="21"/>
  <c r="G336" i="21"/>
  <c r="G349" i="21"/>
  <c r="G353" i="21"/>
  <c r="G365" i="21"/>
  <c r="G377" i="21"/>
  <c r="G380" i="21"/>
  <c r="G386" i="21"/>
  <c r="G389" i="21"/>
  <c r="G393" i="21"/>
  <c r="G398" i="21"/>
  <c r="G401" i="21"/>
  <c r="G404" i="21"/>
  <c r="G407" i="21"/>
  <c r="G410" i="21"/>
  <c r="G413" i="21"/>
  <c r="G416" i="21"/>
  <c r="G422" i="21"/>
  <c r="G427" i="21"/>
  <c r="G430" i="21"/>
  <c r="G433" i="21"/>
  <c r="G437" i="21"/>
  <c r="G440" i="21"/>
  <c r="G443" i="21"/>
  <c r="G446" i="21"/>
  <c r="G459" i="21"/>
  <c r="G464" i="21"/>
  <c r="G476" i="21"/>
  <c r="G488" i="21"/>
  <c r="G506" i="21"/>
  <c r="G520" i="21"/>
  <c r="G521" i="21"/>
  <c r="G528" i="21"/>
  <c r="G534" i="21"/>
  <c r="G535" i="21"/>
  <c r="G538" i="21"/>
  <c r="G539" i="21"/>
  <c r="G551" i="21"/>
  <c r="G552" i="21"/>
  <c r="G558" i="21"/>
  <c r="G559" i="21"/>
  <c r="G565" i="21"/>
  <c r="G571" i="21"/>
  <c r="G574" i="21"/>
  <c r="G579" i="21"/>
  <c r="G584" i="21"/>
  <c r="G592" i="21"/>
  <c r="G596" i="21"/>
  <c r="G597" i="21"/>
  <c r="G606" i="21"/>
  <c r="G609" i="21"/>
  <c r="G612" i="21"/>
  <c r="G614" i="21"/>
  <c r="G627" i="21"/>
  <c r="G630" i="21"/>
  <c r="G646" i="21"/>
  <c r="G650" i="21"/>
  <c r="G669" i="21"/>
  <c r="G672" i="21"/>
  <c r="G675" i="21"/>
  <c r="G678" i="21"/>
  <c r="G689" i="21"/>
  <c r="G693" i="21"/>
  <c r="G696" i="21"/>
  <c r="G708" i="21"/>
  <c r="G713" i="21"/>
  <c r="G718" i="21"/>
  <c r="G726" i="21"/>
  <c r="G729" i="21"/>
  <c r="G738" i="21"/>
  <c r="G745" i="21"/>
  <c r="G762" i="21"/>
  <c r="G776" i="21"/>
  <c r="G780" i="21"/>
  <c r="G785" i="21"/>
  <c r="G791" i="21"/>
  <c r="H790" i="21"/>
  <c r="J790" i="21" s="1"/>
  <c r="H784" i="21"/>
  <c r="H779" i="21"/>
  <c r="J779" i="21" s="1"/>
  <c r="H775" i="21"/>
  <c r="J775" i="21" s="1"/>
  <c r="H773" i="21"/>
  <c r="J773" i="21" s="1"/>
  <c r="H761" i="21"/>
  <c r="J761" i="21" s="1"/>
  <c r="H760" i="21"/>
  <c r="H744" i="21"/>
  <c r="H737" i="21"/>
  <c r="H728" i="21"/>
  <c r="H725" i="21"/>
  <c r="H717" i="21"/>
  <c r="H712" i="21"/>
  <c r="H707" i="21"/>
  <c r="H695" i="21"/>
  <c r="H692" i="21"/>
  <c r="H688" i="21"/>
  <c r="J688" i="21" s="1"/>
  <c r="H686" i="21"/>
  <c r="J686" i="21" s="1"/>
  <c r="H677" i="21"/>
  <c r="H674" i="21"/>
  <c r="J674" i="21" s="1"/>
  <c r="H671" i="21"/>
  <c r="J671" i="21" s="1"/>
  <c r="H668" i="21"/>
  <c r="J668" i="21" s="1"/>
  <c r="H649" i="21"/>
  <c r="J649" i="21" s="1"/>
  <c r="H645" i="21"/>
  <c r="H642" i="21"/>
  <c r="J642" i="21" s="1"/>
  <c r="H629" i="21"/>
  <c r="H626" i="21"/>
  <c r="H622" i="21"/>
  <c r="H620" i="21"/>
  <c r="H613" i="21"/>
  <c r="J613" i="21" s="1"/>
  <c r="H611" i="21"/>
  <c r="J611" i="21" s="1"/>
  <c r="H608" i="21"/>
  <c r="H605" i="21"/>
  <c r="J605" i="21" s="1"/>
  <c r="H603" i="21"/>
  <c r="J603" i="21" s="1"/>
  <c r="H601" i="21"/>
  <c r="J601" i="21" s="1"/>
  <c r="H595" i="21"/>
  <c r="H583" i="21"/>
  <c r="H578" i="21"/>
  <c r="J578" i="21" s="1"/>
  <c r="H573" i="21"/>
  <c r="J573" i="21" s="1"/>
  <c r="H570" i="21"/>
  <c r="J570" i="21" s="1"/>
  <c r="H564" i="21"/>
  <c r="H557" i="21"/>
  <c r="H550" i="21"/>
  <c r="J550" i="21" s="1"/>
  <c r="H537" i="21"/>
  <c r="J537" i="21" s="1"/>
  <c r="H533" i="21"/>
  <c r="J533" i="21" s="1"/>
  <c r="H527" i="21"/>
  <c r="H519" i="21"/>
  <c r="J519" i="21" s="1"/>
  <c r="H505" i="21"/>
  <c r="J505" i="21" s="1"/>
  <c r="H504" i="21"/>
  <c r="H501" i="21"/>
  <c r="H491" i="21"/>
  <c r="H487" i="21"/>
  <c r="J487" i="21" s="1"/>
  <c r="H486" i="21"/>
  <c r="H483" i="21"/>
  <c r="H475" i="21"/>
  <c r="J475" i="21" s="1"/>
  <c r="H474" i="21"/>
  <c r="H471" i="21"/>
  <c r="J471" i="21" s="1"/>
  <c r="H463" i="21"/>
  <c r="J463" i="21" s="1"/>
  <c r="H458" i="21"/>
  <c r="J458" i="21" s="1"/>
  <c r="H445" i="21"/>
  <c r="H442" i="21"/>
  <c r="J442" i="21" s="1"/>
  <c r="H439" i="21"/>
  <c r="H436" i="21"/>
  <c r="J436" i="21" s="1"/>
  <c r="H432" i="21"/>
  <c r="J432" i="21" s="1"/>
  <c r="H429" i="21"/>
  <c r="J429" i="21" s="1"/>
  <c r="H426" i="21"/>
  <c r="J426" i="21" s="1"/>
  <c r="H421" i="21"/>
  <c r="J421" i="21" s="1"/>
  <c r="H418" i="21"/>
  <c r="H415" i="21"/>
  <c r="J415" i="21" s="1"/>
  <c r="H412" i="21"/>
  <c r="H409" i="21"/>
  <c r="J409" i="21" s="1"/>
  <c r="H406" i="21"/>
  <c r="H403" i="21"/>
  <c r="J403" i="21" s="1"/>
  <c r="H400" i="21"/>
  <c r="H397" i="21"/>
  <c r="J397" i="21" s="1"/>
  <c r="H392" i="21"/>
  <c r="H388" i="21"/>
  <c r="J388" i="21" s="1"/>
  <c r="H385" i="21"/>
  <c r="J385" i="21" s="1"/>
  <c r="H383" i="21"/>
  <c r="J383" i="21" s="1"/>
  <c r="H379" i="21"/>
  <c r="J379" i="21" s="1"/>
  <c r="H376" i="21"/>
  <c r="H364" i="21"/>
  <c r="H352" i="21"/>
  <c r="J352" i="21" s="1"/>
  <c r="H348" i="21"/>
  <c r="H346" i="21"/>
  <c r="H335" i="21"/>
  <c r="J335" i="21" s="1"/>
  <c r="H332" i="21"/>
  <c r="J332" i="21" s="1"/>
  <c r="H329" i="21"/>
  <c r="H325" i="21"/>
  <c r="H322" i="21"/>
  <c r="J322" i="21" s="1"/>
  <c r="H319" i="21"/>
  <c r="H301" i="21"/>
  <c r="H298" i="21"/>
  <c r="J298" i="21" s="1"/>
  <c r="H294" i="21"/>
  <c r="J294" i="21" s="1"/>
  <c r="H289" i="21"/>
  <c r="J289" i="21" s="1"/>
  <c r="H286" i="21"/>
  <c r="J286" i="21" s="1"/>
  <c r="H283" i="21"/>
  <c r="J283" i="21" s="1"/>
  <c r="H280" i="21"/>
  <c r="J280" i="21" s="1"/>
  <c r="H277" i="21"/>
  <c r="J277" i="21" s="1"/>
  <c r="H272" i="21"/>
  <c r="J272" i="21" s="1"/>
  <c r="H269" i="21"/>
  <c r="J269" i="21" s="1"/>
  <c r="H267" i="21"/>
  <c r="J267" i="21" s="1"/>
  <c r="H265" i="21"/>
  <c r="J265" i="21" s="1"/>
  <c r="H260" i="21"/>
  <c r="J260" i="21" s="1"/>
  <c r="H258" i="21"/>
  <c r="J258" i="21" s="1"/>
  <c r="H255" i="21"/>
  <c r="J255" i="21" s="1"/>
  <c r="H253" i="21"/>
  <c r="J253" i="21" s="1"/>
  <c r="H248" i="21"/>
  <c r="H243" i="21"/>
  <c r="H240" i="21"/>
  <c r="H235" i="21"/>
  <c r="H220" i="21"/>
  <c r="J220" i="21" s="1"/>
  <c r="H216" i="21"/>
  <c r="J216" i="21" s="1"/>
  <c r="H214" i="21"/>
  <c r="J214" i="21" s="1"/>
  <c r="H212" i="21"/>
  <c r="H205" i="21"/>
  <c r="J205" i="21" s="1"/>
  <c r="H203" i="21"/>
  <c r="J203" i="21" s="1"/>
  <c r="H191" i="21"/>
  <c r="J191" i="21" s="1"/>
  <c r="H189" i="21"/>
  <c r="J189" i="21" s="1"/>
  <c r="H187" i="21"/>
  <c r="J187" i="21" s="1"/>
  <c r="H183" i="21"/>
  <c r="H165" i="21"/>
  <c r="H160" i="21"/>
  <c r="H157" i="21"/>
  <c r="J157" i="21" s="1"/>
  <c r="H154" i="21"/>
  <c r="J154" i="21" s="1"/>
  <c r="H153" i="21"/>
  <c r="J153" i="21" s="1"/>
  <c r="H151" i="21"/>
  <c r="H147" i="21"/>
  <c r="H144" i="21"/>
  <c r="J144" i="21" s="1"/>
  <c r="H134" i="21"/>
  <c r="H129" i="21"/>
  <c r="J129" i="21" s="1"/>
  <c r="H124" i="21"/>
  <c r="H121" i="21"/>
  <c r="J121" i="21" s="1"/>
  <c r="H117" i="21"/>
  <c r="J117" i="21" s="1"/>
  <c r="H114" i="21"/>
  <c r="J114" i="21" s="1"/>
  <c r="H111" i="21"/>
  <c r="H108" i="21"/>
  <c r="H105" i="21"/>
  <c r="J105" i="21" s="1"/>
  <c r="H102" i="21"/>
  <c r="J102" i="21" s="1"/>
  <c r="H98" i="21"/>
  <c r="J98" i="21" s="1"/>
  <c r="H95" i="21"/>
  <c r="J95" i="21" s="1"/>
  <c r="H89" i="21"/>
  <c r="J89" i="21" s="1"/>
  <c r="H80" i="21"/>
  <c r="J80" i="21" s="1"/>
  <c r="H78" i="21"/>
  <c r="J78" i="21" s="1"/>
  <c r="H75" i="21"/>
  <c r="J75" i="21" s="1"/>
  <c r="H73" i="21"/>
  <c r="J73" i="21" s="1"/>
  <c r="H68" i="21"/>
  <c r="J68" i="21" s="1"/>
  <c r="H64" i="21"/>
  <c r="H57" i="21"/>
  <c r="H48" i="21"/>
  <c r="J48" i="21" s="1"/>
  <c r="H46" i="21"/>
  <c r="J46" i="21" s="1"/>
  <c r="H43" i="21"/>
  <c r="J43" i="21" s="1"/>
  <c r="H38" i="21"/>
  <c r="J38" i="21" s="1"/>
  <c r="H31" i="21"/>
  <c r="J31" i="21" s="1"/>
  <c r="H26" i="21"/>
  <c r="J26" i="21" s="1"/>
  <c r="H17" i="21"/>
  <c r="H16" i="21" s="1"/>
  <c r="G584" i="20"/>
  <c r="G978" i="20"/>
  <c r="G974" i="20"/>
  <c r="G962" i="20"/>
  <c r="G956" i="20"/>
  <c r="G954" i="20"/>
  <c r="G951" i="20"/>
  <c r="G942" i="20"/>
  <c r="G933" i="20"/>
  <c r="G927" i="20"/>
  <c r="G915" i="20"/>
  <c r="G913" i="20"/>
  <c r="G906" i="20"/>
  <c r="G904" i="20"/>
  <c r="G901" i="20"/>
  <c r="G898" i="20"/>
  <c r="G896" i="20"/>
  <c r="G894" i="20"/>
  <c r="G888" i="20"/>
  <c r="G871" i="20"/>
  <c r="G864" i="20"/>
  <c r="G851" i="20"/>
  <c r="G847" i="20"/>
  <c r="G837" i="20"/>
  <c r="G825" i="20"/>
  <c r="G818" i="20"/>
  <c r="G809" i="20"/>
  <c r="G808" i="20"/>
  <c r="G805" i="20"/>
  <c r="G796" i="20"/>
  <c r="G790" i="20"/>
  <c r="G782" i="20"/>
  <c r="G780" i="20"/>
  <c r="G777" i="20"/>
  <c r="G775" i="20"/>
  <c r="G767" i="20"/>
  <c r="G765" i="20"/>
  <c r="G763" i="20"/>
  <c r="G754" i="20"/>
  <c r="G753" i="20"/>
  <c r="G750" i="20"/>
  <c r="G741" i="20"/>
  <c r="G738" i="20"/>
  <c r="G735" i="20"/>
  <c r="G729" i="20"/>
  <c r="G725" i="20"/>
  <c r="G722" i="20"/>
  <c r="G716" i="20"/>
  <c r="G713" i="20"/>
  <c r="G704" i="20"/>
  <c r="G702" i="20"/>
  <c r="G691" i="20"/>
  <c r="G688" i="20"/>
  <c r="G685" i="20"/>
  <c r="G681" i="20"/>
  <c r="G678" i="20"/>
  <c r="G675" i="20"/>
  <c r="G668" i="20"/>
  <c r="G660" i="20"/>
  <c r="G625" i="20"/>
  <c r="G622" i="20"/>
  <c r="G616" i="20"/>
  <c r="G613" i="20"/>
  <c r="G608" i="20"/>
  <c r="G599" i="20"/>
  <c r="G598" i="20"/>
  <c r="G595" i="20"/>
  <c r="G581" i="20"/>
  <c r="G578" i="20"/>
  <c r="G575" i="20"/>
  <c r="G572" i="20"/>
  <c r="G567" i="20"/>
  <c r="G555" i="20"/>
  <c r="G549" i="20"/>
  <c r="G546" i="20"/>
  <c r="G525" i="20"/>
  <c r="G524" i="20"/>
  <c r="G521" i="20"/>
  <c r="G513" i="20"/>
  <c r="G506" i="20"/>
  <c r="G503" i="20"/>
  <c r="G500" i="20"/>
  <c r="G497" i="20"/>
  <c r="G494" i="20"/>
  <c r="G491" i="20"/>
  <c r="G488" i="20"/>
  <c r="G485" i="20"/>
  <c r="G482" i="20"/>
  <c r="G471" i="20"/>
  <c r="G467" i="20"/>
  <c r="G455" i="20"/>
  <c r="G453" i="20"/>
  <c r="G444" i="20"/>
  <c r="G441" i="20"/>
  <c r="G438" i="20"/>
  <c r="G435" i="20"/>
  <c r="G423" i="20"/>
  <c r="G419" i="20"/>
  <c r="G416" i="20"/>
  <c r="G408" i="20"/>
  <c r="G405" i="20"/>
  <c r="G399" i="20"/>
  <c r="G390" i="20"/>
  <c r="G387" i="20"/>
  <c r="G385" i="20"/>
  <c r="G383" i="20"/>
  <c r="G378" i="20"/>
  <c r="G376" i="20"/>
  <c r="G373" i="20"/>
  <c r="G371" i="20"/>
  <c r="G366" i="20"/>
  <c r="G361" i="20"/>
  <c r="G353" i="20"/>
  <c r="G343" i="20"/>
  <c r="G334" i="20"/>
  <c r="G332" i="20"/>
  <c r="G330" i="20"/>
  <c r="G309" i="20"/>
  <c r="G308" i="20"/>
  <c r="G304" i="20"/>
  <c r="G292" i="20"/>
  <c r="G285" i="20"/>
  <c r="G195" i="20"/>
  <c r="G190" i="20"/>
  <c r="G186" i="20"/>
  <c r="G184" i="20"/>
  <c r="G177" i="20"/>
  <c r="G170" i="20"/>
  <c r="G167" i="20"/>
  <c r="G158" i="20"/>
  <c r="G148" i="20"/>
  <c r="G143" i="20"/>
  <c r="G140" i="20"/>
  <c r="G137" i="20"/>
  <c r="G134" i="20"/>
  <c r="G131" i="20"/>
  <c r="G121" i="20"/>
  <c r="G117" i="20"/>
  <c r="G113" i="20"/>
  <c r="G106" i="20"/>
  <c r="G101" i="20"/>
  <c r="G98" i="20"/>
  <c r="G94" i="20"/>
  <c r="G91" i="20"/>
  <c r="G88" i="20"/>
  <c r="G85" i="20"/>
  <c r="G82" i="20"/>
  <c r="G79" i="20"/>
  <c r="G75" i="20"/>
  <c r="G72" i="20"/>
  <c r="G66" i="20"/>
  <c r="G63" i="20"/>
  <c r="G60" i="20"/>
  <c r="G57" i="20"/>
  <c r="G56" i="20"/>
  <c r="G54" i="20"/>
  <c r="G50" i="20"/>
  <c r="G47" i="20"/>
  <c r="G45" i="20"/>
  <c r="G43" i="20"/>
  <c r="G36" i="20"/>
  <c r="G27" i="20"/>
  <c r="G25" i="20"/>
  <c r="G16" i="20"/>
  <c r="J491" i="21" l="1"/>
  <c r="H490" i="21"/>
  <c r="H489" i="21" s="1"/>
  <c r="H163" i="21"/>
  <c r="J165" i="21"/>
  <c r="H482" i="21"/>
  <c r="J483" i="21"/>
  <c r="H500" i="21"/>
  <c r="J500" i="21" s="1"/>
  <c r="J501" i="21"/>
  <c r="H150" i="21"/>
  <c r="J150" i="21" s="1"/>
  <c r="J151" i="21"/>
  <c r="H211" i="21"/>
  <c r="J211" i="21" s="1"/>
  <c r="J212" i="21"/>
  <c r="H759" i="21"/>
  <c r="J759" i="21" s="1"/>
  <c r="J760" i="21"/>
  <c r="H345" i="21"/>
  <c r="J345" i="21" s="1"/>
  <c r="J346" i="21"/>
  <c r="H485" i="21"/>
  <c r="J485" i="21" s="1"/>
  <c r="J486" i="21"/>
  <c r="H503" i="21"/>
  <c r="J504" i="21"/>
  <c r="H619" i="21"/>
  <c r="H618" i="21" s="1"/>
  <c r="J620" i="21"/>
  <c r="H63" i="21"/>
  <c r="H62" i="21" s="1"/>
  <c r="J62" i="21" s="1"/>
  <c r="J64" i="21"/>
  <c r="H473" i="21"/>
  <c r="J473" i="21" s="1"/>
  <c r="J474" i="21"/>
  <c r="H162" i="21"/>
  <c r="J162" i="21" s="1"/>
  <c r="J163" i="21"/>
  <c r="H363" i="21"/>
  <c r="J363" i="21" s="1"/>
  <c r="J364" i="21"/>
  <c r="H399" i="21"/>
  <c r="J399" i="21" s="1"/>
  <c r="J400" i="21"/>
  <c r="H411" i="21"/>
  <c r="J411" i="21" s="1"/>
  <c r="J412" i="21"/>
  <c r="H438" i="21"/>
  <c r="J438" i="21" s="1"/>
  <c r="J439" i="21"/>
  <c r="H481" i="21"/>
  <c r="J481" i="21" s="1"/>
  <c r="J482" i="21"/>
  <c r="H556" i="21"/>
  <c r="J557" i="21"/>
  <c r="H628" i="21"/>
  <c r="J628" i="21" s="1"/>
  <c r="J629" i="21"/>
  <c r="H727" i="21"/>
  <c r="J727" i="21" s="1"/>
  <c r="J728" i="21"/>
  <c r="H783" i="21"/>
  <c r="J784" i="21"/>
  <c r="H56" i="21"/>
  <c r="J57" i="21"/>
  <c r="H242" i="21"/>
  <c r="J242" i="21" s="1"/>
  <c r="J243" i="21"/>
  <c r="J619" i="21"/>
  <c r="H736" i="21"/>
  <c r="J737" i="21"/>
  <c r="J63" i="21"/>
  <c r="H110" i="21"/>
  <c r="J110" i="21" s="1"/>
  <c r="J111" i="21"/>
  <c r="H123" i="21"/>
  <c r="J123" i="21" s="1"/>
  <c r="J124" i="21"/>
  <c r="H146" i="21"/>
  <c r="J146" i="21" s="1"/>
  <c r="J147" i="21"/>
  <c r="H247" i="21"/>
  <c r="J247" i="21" s="1"/>
  <c r="J248" i="21"/>
  <c r="H300" i="21"/>
  <c r="J300" i="21" s="1"/>
  <c r="J301" i="21"/>
  <c r="H328" i="21"/>
  <c r="J328" i="21" s="1"/>
  <c r="J329" i="21"/>
  <c r="H347" i="21"/>
  <c r="J347" i="21" s="1"/>
  <c r="J348" i="21"/>
  <c r="H391" i="21"/>
  <c r="J391" i="21" s="1"/>
  <c r="J392" i="21"/>
  <c r="H405" i="21"/>
  <c r="J405" i="21" s="1"/>
  <c r="J406" i="21"/>
  <c r="H417" i="21"/>
  <c r="J417" i="21" s="1"/>
  <c r="J418" i="21"/>
  <c r="H444" i="21"/>
  <c r="J444" i="21" s="1"/>
  <c r="J445" i="21"/>
  <c r="H594" i="21"/>
  <c r="J595" i="21"/>
  <c r="H607" i="21"/>
  <c r="J607" i="21" s="1"/>
  <c r="J608" i="21"/>
  <c r="H621" i="21"/>
  <c r="J621" i="21" s="1"/>
  <c r="J622" i="21"/>
  <c r="H644" i="21"/>
  <c r="J644" i="21" s="1"/>
  <c r="J645" i="21"/>
  <c r="H691" i="21"/>
  <c r="J692" i="21"/>
  <c r="H716" i="21"/>
  <c r="J717" i="21"/>
  <c r="H743" i="21"/>
  <c r="J744" i="21"/>
  <c r="H447" i="21"/>
  <c r="J447" i="21" s="1"/>
  <c r="J448" i="21"/>
  <c r="H133" i="21"/>
  <c r="J133" i="21" s="1"/>
  <c r="J134" i="21"/>
  <c r="H239" i="21"/>
  <c r="J239" i="21" s="1"/>
  <c r="J240" i="21"/>
  <c r="H526" i="21"/>
  <c r="J526" i="21" s="1"/>
  <c r="J527" i="21"/>
  <c r="H706" i="21"/>
  <c r="J707" i="21"/>
  <c r="H107" i="21"/>
  <c r="J107" i="21" s="1"/>
  <c r="J108" i="21"/>
  <c r="H182" i="21"/>
  <c r="J182" i="21" s="1"/>
  <c r="J183" i="21"/>
  <c r="H324" i="21"/>
  <c r="J324" i="21" s="1"/>
  <c r="J325" i="21"/>
  <c r="H373" i="21"/>
  <c r="J373" i="21" s="1"/>
  <c r="J376" i="21"/>
  <c r="H563" i="21"/>
  <c r="J563" i="21" s="1"/>
  <c r="J564" i="21"/>
  <c r="H582" i="21"/>
  <c r="J582" i="21" s="1"/>
  <c r="J583" i="21"/>
  <c r="H711" i="21"/>
  <c r="J711" i="21" s="1"/>
  <c r="J712" i="21"/>
  <c r="H159" i="21"/>
  <c r="J159" i="21" s="1"/>
  <c r="J160" i="21"/>
  <c r="H234" i="21"/>
  <c r="J234" i="21" s="1"/>
  <c r="J235" i="21"/>
  <c r="H318" i="21"/>
  <c r="J318" i="21" s="1"/>
  <c r="J319" i="21"/>
  <c r="H625" i="21"/>
  <c r="J626" i="21"/>
  <c r="H676" i="21"/>
  <c r="J676" i="21" s="1"/>
  <c r="J677" i="21"/>
  <c r="H694" i="21"/>
  <c r="J694" i="21" s="1"/>
  <c r="J695" i="21"/>
  <c r="H724" i="21"/>
  <c r="J724" i="21" s="1"/>
  <c r="J725" i="21"/>
  <c r="J17" i="21"/>
  <c r="F770" i="8"/>
  <c r="H770" i="8" s="1"/>
  <c r="F344" i="8"/>
  <c r="H344" i="8" s="1"/>
  <c r="H345" i="8"/>
  <c r="F623" i="8"/>
  <c r="H623" i="8" s="1"/>
  <c r="H624" i="8"/>
  <c r="H771" i="8"/>
  <c r="H785" i="8"/>
  <c r="I471" i="20"/>
  <c r="I491" i="20"/>
  <c r="I599" i="20"/>
  <c r="I954" i="20"/>
  <c r="I408" i="20"/>
  <c r="I435" i="20"/>
  <c r="I482" i="20"/>
  <c r="I506" i="20"/>
  <c r="I525" i="20"/>
  <c r="I608" i="20"/>
  <c r="I956" i="20"/>
  <c r="I334" i="20"/>
  <c r="I416" i="20"/>
  <c r="I438" i="20"/>
  <c r="I455" i="20"/>
  <c r="I513" i="20"/>
  <c r="I546" i="20"/>
  <c r="I613" i="20"/>
  <c r="G914" i="20"/>
  <c r="I373" i="20"/>
  <c r="I385" i="20"/>
  <c r="I405" i="20"/>
  <c r="I444" i="20"/>
  <c r="I503" i="20"/>
  <c r="I978" i="20"/>
  <c r="I332" i="20"/>
  <c r="I376" i="20"/>
  <c r="I387" i="20"/>
  <c r="I453" i="20"/>
  <c r="I494" i="20"/>
  <c r="I309" i="20"/>
  <c r="I371" i="20"/>
  <c r="I383" i="20"/>
  <c r="I441" i="20"/>
  <c r="I467" i="20"/>
  <c r="I488" i="20"/>
  <c r="I500" i="20"/>
  <c r="I616" i="20"/>
  <c r="I292" i="20"/>
  <c r="I378" i="20"/>
  <c r="I285" i="20"/>
  <c r="G329" i="20"/>
  <c r="I330" i="20"/>
  <c r="G352" i="20"/>
  <c r="I353" i="20"/>
  <c r="G422" i="20"/>
  <c r="G421" i="20" s="1"/>
  <c r="I423" i="20"/>
  <c r="G523" i="20"/>
  <c r="I524" i="20"/>
  <c r="G554" i="20"/>
  <c r="G553" i="20" s="1"/>
  <c r="I555" i="20"/>
  <c r="G577" i="20"/>
  <c r="I578" i="20"/>
  <c r="G621" i="20"/>
  <c r="I622" i="20"/>
  <c r="I675" i="20"/>
  <c r="G687" i="20"/>
  <c r="I688" i="20"/>
  <c r="G710" i="20"/>
  <c r="I713" i="20"/>
  <c r="G728" i="20"/>
  <c r="G727" i="20" s="1"/>
  <c r="I729" i="20"/>
  <c r="G749" i="20"/>
  <c r="G748" i="20" s="1"/>
  <c r="I750" i="20"/>
  <c r="I765" i="20"/>
  <c r="I780" i="20"/>
  <c r="G804" i="20"/>
  <c r="G803" i="20" s="1"/>
  <c r="I805" i="20"/>
  <c r="I825" i="20"/>
  <c r="G863" i="20"/>
  <c r="G862" i="20" s="1"/>
  <c r="I864" i="20"/>
  <c r="I896" i="20"/>
  <c r="I906" i="20"/>
  <c r="G926" i="20"/>
  <c r="G925" i="20" s="1"/>
  <c r="I927" i="20"/>
  <c r="G303" i="20"/>
  <c r="G302" i="20" s="1"/>
  <c r="I304" i="20"/>
  <c r="G360" i="20"/>
  <c r="I361" i="20"/>
  <c r="G566" i="20"/>
  <c r="I567" i="20"/>
  <c r="G580" i="20"/>
  <c r="I581" i="20"/>
  <c r="G624" i="20"/>
  <c r="I625" i="20"/>
  <c r="G677" i="20"/>
  <c r="I678" i="20"/>
  <c r="G690" i="20"/>
  <c r="I691" i="20"/>
  <c r="G715" i="20"/>
  <c r="I716" i="20"/>
  <c r="G734" i="20"/>
  <c r="I735" i="20"/>
  <c r="G752" i="20"/>
  <c r="G751" i="20" s="1"/>
  <c r="I753" i="20"/>
  <c r="I767" i="20"/>
  <c r="I782" i="20"/>
  <c r="G807" i="20"/>
  <c r="G806" i="20" s="1"/>
  <c r="I808" i="20"/>
  <c r="G836" i="20"/>
  <c r="I837" i="20"/>
  <c r="I871" i="20"/>
  <c r="I898" i="20"/>
  <c r="G912" i="20"/>
  <c r="I913" i="20"/>
  <c r="G932" i="20"/>
  <c r="I933" i="20"/>
  <c r="G583" i="20"/>
  <c r="I584" i="20"/>
  <c r="G307" i="20"/>
  <c r="G306" i="20" s="1"/>
  <c r="I308" i="20"/>
  <c r="G365" i="20"/>
  <c r="I366" i="20"/>
  <c r="G389" i="20"/>
  <c r="I390" i="20"/>
  <c r="G484" i="20"/>
  <c r="I485" i="20"/>
  <c r="G496" i="20"/>
  <c r="I497" i="20"/>
  <c r="G571" i="20"/>
  <c r="I572" i="20"/>
  <c r="G594" i="20"/>
  <c r="I595" i="20"/>
  <c r="I660" i="20"/>
  <c r="I681" i="20"/>
  <c r="G701" i="20"/>
  <c r="G700" i="20" s="1"/>
  <c r="I702" i="20"/>
  <c r="I722" i="20"/>
  <c r="I738" i="20"/>
  <c r="I754" i="20"/>
  <c r="I775" i="20"/>
  <c r="I790" i="20"/>
  <c r="I809" i="20"/>
  <c r="G846" i="20"/>
  <c r="I847" i="20"/>
  <c r="I888" i="20"/>
  <c r="G900" i="20"/>
  <c r="I901" i="20"/>
  <c r="I914" i="20"/>
  <c r="I915" i="20"/>
  <c r="G941" i="20"/>
  <c r="I942" i="20"/>
  <c r="G961" i="20"/>
  <c r="I962" i="20"/>
  <c r="G342" i="20"/>
  <c r="I343" i="20"/>
  <c r="G418" i="20"/>
  <c r="I419" i="20"/>
  <c r="G520" i="20"/>
  <c r="I521" i="20"/>
  <c r="G548" i="20"/>
  <c r="I549" i="20"/>
  <c r="G574" i="20"/>
  <c r="I575" i="20"/>
  <c r="G597" i="20"/>
  <c r="G596" i="20" s="1"/>
  <c r="I598" i="20"/>
  <c r="G684" i="20"/>
  <c r="I685" i="20"/>
  <c r="G703" i="20"/>
  <c r="I704" i="20"/>
  <c r="I725" i="20"/>
  <c r="I741" i="20"/>
  <c r="I763" i="20"/>
  <c r="I777" i="20"/>
  <c r="G795" i="20"/>
  <c r="I796" i="20"/>
  <c r="G817" i="20"/>
  <c r="I818" i="20"/>
  <c r="I851" i="20"/>
  <c r="I894" i="20"/>
  <c r="I904" i="20"/>
  <c r="G950" i="20"/>
  <c r="I951" i="20"/>
  <c r="G973" i="20"/>
  <c r="I974" i="20"/>
  <c r="G398" i="20"/>
  <c r="I399" i="20"/>
  <c r="I668" i="20"/>
  <c r="I88" i="20"/>
  <c r="G100" i="20"/>
  <c r="I101" i="20"/>
  <c r="I121" i="20"/>
  <c r="I140" i="20"/>
  <c r="I167" i="20"/>
  <c r="I186" i="20"/>
  <c r="I43" i="20"/>
  <c r="I79" i="20"/>
  <c r="I91" i="20"/>
  <c r="G105" i="20"/>
  <c r="G104" i="20" s="1"/>
  <c r="I106" i="20"/>
  <c r="I131" i="20"/>
  <c r="G142" i="20"/>
  <c r="I143" i="20"/>
  <c r="I170" i="20"/>
  <c r="I190" i="20"/>
  <c r="I25" i="20"/>
  <c r="I45" i="20"/>
  <c r="I82" i="20"/>
  <c r="I94" i="20"/>
  <c r="G112" i="20"/>
  <c r="I113" i="20"/>
  <c r="I134" i="20"/>
  <c r="G147" i="20"/>
  <c r="I148" i="20"/>
  <c r="I177" i="20"/>
  <c r="I195" i="20"/>
  <c r="I27" i="20"/>
  <c r="I47" i="20"/>
  <c r="I57" i="20"/>
  <c r="I85" i="20"/>
  <c r="G97" i="20"/>
  <c r="I98" i="20"/>
  <c r="I117" i="20"/>
  <c r="G136" i="20"/>
  <c r="I137" i="20"/>
  <c r="I158" i="20"/>
  <c r="I184" i="20"/>
  <c r="G53" i="20"/>
  <c r="I54" i="20"/>
  <c r="G55" i="20"/>
  <c r="I56" i="20"/>
  <c r="G49" i="20"/>
  <c r="I50" i="20"/>
  <c r="G74" i="20"/>
  <c r="I75" i="20"/>
  <c r="G65" i="20"/>
  <c r="I66" i="20"/>
  <c r="G35" i="20"/>
  <c r="G34" i="20" s="1"/>
  <c r="I36" i="20"/>
  <c r="G59" i="20"/>
  <c r="I60" i="20"/>
  <c r="G15" i="20"/>
  <c r="I16" i="20"/>
  <c r="G62" i="20"/>
  <c r="I63" i="20"/>
  <c r="G71" i="20"/>
  <c r="G70" i="20" s="1"/>
  <c r="I72" i="20"/>
  <c r="F349" i="8"/>
  <c r="H349" i="8" s="1"/>
  <c r="G903" i="20"/>
  <c r="H610" i="21"/>
  <c r="J610" i="21" s="1"/>
  <c r="H641" i="21"/>
  <c r="H673" i="21"/>
  <c r="J673" i="21" s="1"/>
  <c r="H670" i="21"/>
  <c r="J670" i="21" s="1"/>
  <c r="H667" i="21"/>
  <c r="G415" i="20"/>
  <c r="G404" i="20"/>
  <c r="G434" i="20"/>
  <c r="H772" i="21"/>
  <c r="J772" i="21" s="1"/>
  <c r="G183" i="20"/>
  <c r="F36" i="8"/>
  <c r="H36" i="8" s="1"/>
  <c r="F171" i="8"/>
  <c r="F338" i="8"/>
  <c r="H338" i="8" s="1"/>
  <c r="F362" i="8"/>
  <c r="F427" i="8"/>
  <c r="F643" i="8"/>
  <c r="H643" i="8" s="1"/>
  <c r="F710" i="8"/>
  <c r="F751" i="8"/>
  <c r="H751" i="8" s="1"/>
  <c r="F851" i="8"/>
  <c r="H851" i="8" s="1"/>
  <c r="F865" i="8"/>
  <c r="H865" i="8" s="1"/>
  <c r="F902" i="8"/>
  <c r="H902" i="8" s="1"/>
  <c r="F925" i="8"/>
  <c r="H925" i="8" s="1"/>
  <c r="F661" i="8"/>
  <c r="H661" i="8" s="1"/>
  <c r="F20" i="8"/>
  <c r="H20" i="8" s="1"/>
  <c r="F62" i="8"/>
  <c r="F111" i="8"/>
  <c r="H111" i="8" s="1"/>
  <c r="F176" i="8"/>
  <c r="H176" i="8" s="1"/>
  <c r="F250" i="8"/>
  <c r="H250" i="8" s="1"/>
  <c r="F280" i="8"/>
  <c r="F432" i="8"/>
  <c r="H432" i="8" s="1"/>
  <c r="F485" i="8"/>
  <c r="H485" i="8" s="1"/>
  <c r="F563" i="8"/>
  <c r="H563" i="8" s="1"/>
  <c r="F603" i="8"/>
  <c r="F648" i="8"/>
  <c r="H648" i="8" s="1"/>
  <c r="F684" i="8"/>
  <c r="H684" i="8" s="1"/>
  <c r="F740" i="8"/>
  <c r="H740" i="8" s="1"/>
  <c r="F757" i="8"/>
  <c r="H757" i="8" s="1"/>
  <c r="F870" i="8"/>
  <c r="H870" i="8" s="1"/>
  <c r="F936" i="8"/>
  <c r="H936" i="8" s="1"/>
  <c r="F15" i="8"/>
  <c r="H15" i="8" s="1"/>
  <c r="F106" i="8"/>
  <c r="H106" i="8" s="1"/>
  <c r="F213" i="8"/>
  <c r="F267" i="8"/>
  <c r="H267" i="8" s="1"/>
  <c r="F382" i="8"/>
  <c r="F461" i="8"/>
  <c r="F578" i="8"/>
  <c r="H578" i="8" s="1"/>
  <c r="F598" i="8"/>
  <c r="F677" i="8"/>
  <c r="H677" i="8" s="1"/>
  <c r="F735" i="8"/>
  <c r="H735" i="8" s="1"/>
  <c r="F887" i="8"/>
  <c r="F26" i="8"/>
  <c r="H26" i="8" s="1"/>
  <c r="F46" i="8"/>
  <c r="H46" i="8" s="1"/>
  <c r="F118" i="8"/>
  <c r="F150" i="8"/>
  <c r="H150" i="8" s="1"/>
  <c r="F255" i="8"/>
  <c r="H255" i="8" s="1"/>
  <c r="F315" i="8"/>
  <c r="H315" i="8" s="1"/>
  <c r="F368" i="8"/>
  <c r="F437" i="8"/>
  <c r="H437" i="8" s="1"/>
  <c r="F543" i="8"/>
  <c r="F568" i="8"/>
  <c r="H568" i="8" s="1"/>
  <c r="F633" i="8"/>
  <c r="F653" i="8"/>
  <c r="H653" i="8" s="1"/>
  <c r="F690" i="8"/>
  <c r="H690" i="8" s="1"/>
  <c r="F718" i="8"/>
  <c r="H718" i="8" s="1"/>
  <c r="F809" i="8"/>
  <c r="H809" i="8" s="1"/>
  <c r="F827" i="8"/>
  <c r="H827" i="8" s="1"/>
  <c r="F841" i="8"/>
  <c r="H841" i="8" s="1"/>
  <c r="F875" i="8"/>
  <c r="H875" i="8" s="1"/>
  <c r="F915" i="8"/>
  <c r="H915" i="8" s="1"/>
  <c r="F942" i="8"/>
  <c r="H942" i="8" s="1"/>
  <c r="F75" i="8"/>
  <c r="F99" i="8"/>
  <c r="F297" i="8"/>
  <c r="F357" i="8"/>
  <c r="F393" i="8"/>
  <c r="H393" i="8" s="1"/>
  <c r="F474" i="8"/>
  <c r="F573" i="8"/>
  <c r="H573" i="8" s="1"/>
  <c r="F618" i="8"/>
  <c r="H618" i="8" s="1"/>
  <c r="F672" i="8"/>
  <c r="H672" i="8" s="1"/>
  <c r="F705" i="8"/>
  <c r="H705" i="8" s="1"/>
  <c r="F729" i="8"/>
  <c r="H729" i="8" s="1"/>
  <c r="F796" i="8"/>
  <c r="H796" i="8" s="1"/>
  <c r="F846" i="8"/>
  <c r="H846" i="8" s="1"/>
  <c r="F880" i="8"/>
  <c r="H880" i="8" s="1"/>
  <c r="F897" i="8"/>
  <c r="H897" i="8" s="1"/>
  <c r="F920" i="8"/>
  <c r="H920" i="8" s="1"/>
  <c r="F947" i="8"/>
  <c r="H947" i="8" s="1"/>
  <c r="F491" i="8"/>
  <c r="H491" i="8" s="1"/>
  <c r="F907" i="8"/>
  <c r="H907" i="8" s="1"/>
  <c r="H515" i="21"/>
  <c r="F762" i="8"/>
  <c r="H762" i="8" s="1"/>
  <c r="H140" i="21"/>
  <c r="J140" i="21" s="1"/>
  <c r="H152" i="21"/>
  <c r="H201" i="21"/>
  <c r="H470" i="21"/>
  <c r="H683" i="21"/>
  <c r="H29" i="21"/>
  <c r="H142" i="21"/>
  <c r="J142" i="21" s="1"/>
  <c r="H66" i="21"/>
  <c r="H756" i="21"/>
  <c r="G119" i="20"/>
  <c r="G720" i="20"/>
  <c r="G833" i="20"/>
  <c r="G358" i="20"/>
  <c r="G469" i="20"/>
  <c r="G22" i="20"/>
  <c r="G450" i="20"/>
  <c r="G976" i="20"/>
  <c r="F744" i="8"/>
  <c r="H744" i="8" s="1"/>
  <c r="F788" i="8"/>
  <c r="H788" i="8" s="1"/>
  <c r="F856" i="8"/>
  <c r="H856" i="8" s="1"/>
  <c r="G522" i="20"/>
  <c r="H685" i="21"/>
  <c r="J685" i="21" s="1"/>
  <c r="G481" i="20"/>
  <c r="G607" i="20"/>
  <c r="G81" i="20"/>
  <c r="G93" i="20"/>
  <c r="G176" i="20"/>
  <c r="G194" i="20"/>
  <c r="G437" i="20"/>
  <c r="G667" i="20"/>
  <c r="G740" i="20"/>
  <c r="G774" i="20"/>
  <c r="G789" i="20"/>
  <c r="G870" i="20"/>
  <c r="G940" i="20"/>
  <c r="G90" i="20"/>
  <c r="G615" i="20"/>
  <c r="G953" i="20"/>
  <c r="G84" i="20"/>
  <c r="G139" i="20"/>
  <c r="G157" i="20"/>
  <c r="G331" i="20"/>
  <c r="G490" i="20"/>
  <c r="G499" i="20"/>
  <c r="G794" i="20"/>
  <c r="G78" i="20"/>
  <c r="G133" i="20"/>
  <c r="G440" i="20"/>
  <c r="G24" i="20"/>
  <c r="G87" i="20"/>
  <c r="G291" i="20"/>
  <c r="G850" i="20"/>
  <c r="G887" i="20"/>
  <c r="G130" i="20"/>
  <c r="G166" i="20"/>
  <c r="G370" i="20"/>
  <c r="G382" i="20"/>
  <c r="G443" i="20"/>
  <c r="G493" i="20"/>
  <c r="G502" i="20"/>
  <c r="G612" i="20"/>
  <c r="G674" i="20"/>
  <c r="G824" i="20"/>
  <c r="G883" i="20"/>
  <c r="G169" i="20"/>
  <c r="G487" i="20"/>
  <c r="G505" i="20"/>
  <c r="G545" i="20"/>
  <c r="G659" i="20"/>
  <c r="G284" i="20"/>
  <c r="G375" i="20"/>
  <c r="G407" i="20"/>
  <c r="G512" i="20"/>
  <c r="G680" i="20"/>
  <c r="G724" i="20"/>
  <c r="G737" i="20"/>
  <c r="G779" i="20"/>
  <c r="H45" i="21"/>
  <c r="J45" i="21" s="1"/>
  <c r="H382" i="21"/>
  <c r="H42" i="21"/>
  <c r="H279" i="21"/>
  <c r="J279" i="21" s="1"/>
  <c r="H293" i="21"/>
  <c r="J293" i="21" s="1"/>
  <c r="H378" i="21"/>
  <c r="J378" i="21" s="1"/>
  <c r="H408" i="21"/>
  <c r="J408" i="21" s="1"/>
  <c r="H532" i="21"/>
  <c r="J532" i="21" s="1"/>
  <c r="H252" i="21"/>
  <c r="J252" i="21" s="1"/>
  <c r="H402" i="21"/>
  <c r="J402" i="21" s="1"/>
  <c r="H441" i="21"/>
  <c r="J441" i="21" s="1"/>
  <c r="H462" i="21"/>
  <c r="J462" i="21" s="1"/>
  <c r="H518" i="21"/>
  <c r="J518" i="21" s="1"/>
  <c r="H77" i="21"/>
  <c r="J77" i="21" s="1"/>
  <c r="H387" i="21"/>
  <c r="J387" i="21" s="1"/>
  <c r="H569" i="21"/>
  <c r="J569" i="21" s="1"/>
  <c r="H789" i="21"/>
  <c r="J789" i="21" s="1"/>
  <c r="H210" i="21"/>
  <c r="J210" i="21" s="1"/>
  <c r="H351" i="21"/>
  <c r="H435" i="21"/>
  <c r="J435" i="21" s="1"/>
  <c r="H94" i="21"/>
  <c r="J94" i="21" s="1"/>
  <c r="H120" i="21"/>
  <c r="J120" i="21" s="1"/>
  <c r="H257" i="21"/>
  <c r="J257" i="21" s="1"/>
  <c r="H303" i="21"/>
  <c r="J303" i="21" s="1"/>
  <c r="H334" i="21"/>
  <c r="J334" i="21" s="1"/>
  <c r="H396" i="21"/>
  <c r="J396" i="21" s="1"/>
  <c r="H414" i="21"/>
  <c r="J414" i="21" s="1"/>
  <c r="H425" i="21"/>
  <c r="J425" i="21" s="1"/>
  <c r="H72" i="21"/>
  <c r="H97" i="21"/>
  <c r="J97" i="21" s="1"/>
  <c r="H156" i="21"/>
  <c r="J156" i="21" s="1"/>
  <c r="H213" i="21"/>
  <c r="J213" i="21" s="1"/>
  <c r="H297" i="21"/>
  <c r="H344" i="21"/>
  <c r="H428" i="21"/>
  <c r="J428" i="21" s="1"/>
  <c r="H536" i="21"/>
  <c r="J536" i="21" s="1"/>
  <c r="J590" i="21"/>
  <c r="H88" i="21"/>
  <c r="J88" i="21" s="1"/>
  <c r="H101" i="21"/>
  <c r="J101" i="21" s="1"/>
  <c r="H113" i="21"/>
  <c r="J113" i="21" s="1"/>
  <c r="H271" i="21"/>
  <c r="J271" i="21" s="1"/>
  <c r="H285" i="21"/>
  <c r="J285" i="21" s="1"/>
  <c r="H549" i="21"/>
  <c r="J549" i="21" s="1"/>
  <c r="H572" i="21"/>
  <c r="J572" i="21" s="1"/>
  <c r="H648" i="21"/>
  <c r="J648" i="21" s="1"/>
  <c r="H758" i="21"/>
  <c r="J758" i="21" s="1"/>
  <c r="H25" i="21"/>
  <c r="H37" i="21"/>
  <c r="J37" i="21" s="1"/>
  <c r="H104" i="21"/>
  <c r="J104" i="21" s="1"/>
  <c r="H116" i="21"/>
  <c r="J116" i="21" s="1"/>
  <c r="H128" i="21"/>
  <c r="J128" i="21" s="1"/>
  <c r="H219" i="21"/>
  <c r="J219" i="21" s="1"/>
  <c r="H276" i="21"/>
  <c r="J276" i="21" s="1"/>
  <c r="H288" i="21"/>
  <c r="J288" i="21" s="1"/>
  <c r="H321" i="21"/>
  <c r="J321" i="21" s="1"/>
  <c r="H331" i="21"/>
  <c r="J331" i="21" s="1"/>
  <c r="H420" i="21"/>
  <c r="J420" i="21" s="1"/>
  <c r="H457" i="21"/>
  <c r="H472" i="21"/>
  <c r="J472" i="21" s="1"/>
  <c r="H577" i="21"/>
  <c r="J577" i="21" s="1"/>
  <c r="H264" i="21"/>
  <c r="J264" i="21" s="1"/>
  <c r="H282" i="21"/>
  <c r="J282" i="21" s="1"/>
  <c r="H431" i="21"/>
  <c r="J431" i="21" s="1"/>
  <c r="H484" i="21"/>
  <c r="J484" i="21" s="1"/>
  <c r="J490" i="21"/>
  <c r="F801" i="8"/>
  <c r="H801" i="8" s="1"/>
  <c r="F818" i="8"/>
  <c r="H818" i="8" s="1"/>
  <c r="F832" i="8"/>
  <c r="H832" i="8" s="1"/>
  <c r="F205" i="8"/>
  <c r="H205" i="8" s="1"/>
  <c r="F240" i="8"/>
  <c r="H240" i="8" s="1"/>
  <c r="F336" i="8"/>
  <c r="H336" i="8" s="1"/>
  <c r="F377" i="8"/>
  <c r="H377" i="8" s="1"/>
  <c r="F68" i="8"/>
  <c r="H68" i="8" s="1"/>
  <c r="F141" i="8"/>
  <c r="H141" i="8" s="1"/>
  <c r="F156" i="8"/>
  <c r="H156" i="8" s="1"/>
  <c r="F166" i="8"/>
  <c r="H166" i="8" s="1"/>
  <c r="F186" i="8"/>
  <c r="H186" i="8" s="1"/>
  <c r="F403" i="8"/>
  <c r="H403" i="8" s="1"/>
  <c r="F57" i="8"/>
  <c r="H57" i="8" s="1"/>
  <c r="F291" i="8"/>
  <c r="H291" i="8" s="1"/>
  <c r="F275" i="8"/>
  <c r="H275" i="8" s="1"/>
  <c r="F388" i="8"/>
  <c r="H388" i="8" s="1"/>
  <c r="F414" i="8"/>
  <c r="H414" i="8" s="1"/>
  <c r="F469" i="8"/>
  <c r="H469" i="8" s="1"/>
  <c r="F522" i="8"/>
  <c r="H522" i="8" s="1"/>
  <c r="F585" i="8"/>
  <c r="H585" i="8" s="1"/>
  <c r="F31" i="8"/>
  <c r="H31" i="8" s="1"/>
  <c r="F41" i="8"/>
  <c r="H41" i="8" s="1"/>
  <c r="F51" i="8"/>
  <c r="H51" i="8" s="1"/>
  <c r="F93" i="8"/>
  <c r="H93" i="8" s="1"/>
  <c r="F200" i="8"/>
  <c r="H200" i="8" s="1"/>
  <c r="F245" i="8"/>
  <c r="H245" i="8" s="1"/>
  <c r="F260" i="8"/>
  <c r="H260" i="8" s="1"/>
  <c r="F409" i="8"/>
  <c r="H409" i="8" s="1"/>
  <c r="F504" i="8"/>
  <c r="H504" i="8" s="1"/>
  <c r="F517" i="8"/>
  <c r="H517" i="8" s="1"/>
  <c r="F590" i="8"/>
  <c r="H590" i="8" s="1"/>
  <c r="F613" i="8"/>
  <c r="H613" i="8" s="1"/>
  <c r="F628" i="8"/>
  <c r="H628" i="8" s="1"/>
  <c r="F777" i="8"/>
  <c r="H777" i="8" s="1"/>
  <c r="F218" i="8"/>
  <c r="H218" i="8" s="1"/>
  <c r="F303" i="8"/>
  <c r="H303" i="8" s="1"/>
  <c r="F398" i="8"/>
  <c r="H398" i="8" s="1"/>
  <c r="F421" i="8"/>
  <c r="H421" i="8" s="1"/>
  <c r="F512" i="8"/>
  <c r="H512" i="8" s="1"/>
  <c r="F80" i="8"/>
  <c r="H80" i="8" s="1"/>
  <c r="F125" i="8"/>
  <c r="H125" i="8" s="1"/>
  <c r="F161" i="8"/>
  <c r="H161" i="8" s="1"/>
  <c r="F181" i="8"/>
  <c r="H181" i="8" s="1"/>
  <c r="F194" i="8"/>
  <c r="H194" i="8" s="1"/>
  <c r="F308" i="8"/>
  <c r="H308" i="8" s="1"/>
  <c r="F456" i="8"/>
  <c r="H456" i="8" s="1"/>
  <c r="F479" i="8"/>
  <c r="H479" i="8" s="1"/>
  <c r="F498" i="8"/>
  <c r="H498" i="8" s="1"/>
  <c r="F527" i="8"/>
  <c r="H527" i="8" s="1"/>
  <c r="F554" i="8"/>
  <c r="H554" i="8" s="1"/>
  <c r="F132" i="8"/>
  <c r="H132" i="8" s="1"/>
  <c r="F548" i="8"/>
  <c r="H548" i="8" s="1"/>
  <c r="F638" i="8"/>
  <c r="H638" i="8" s="1"/>
  <c r="G448" i="21"/>
  <c r="H186" i="21"/>
  <c r="J186" i="21" s="1"/>
  <c r="H600" i="21"/>
  <c r="J600" i="21" s="1"/>
  <c r="G42" i="20"/>
  <c r="G893" i="20"/>
  <c r="G452" i="20"/>
  <c r="G762" i="20"/>
  <c r="F591" i="21"/>
  <c r="G591" i="21" s="1"/>
  <c r="H499" i="21" l="1"/>
  <c r="J503" i="21"/>
  <c r="H502" i="21"/>
  <c r="J502" i="21" s="1"/>
  <c r="J625" i="21"/>
  <c r="H624" i="21"/>
  <c r="J624" i="21" s="1"/>
  <c r="J691" i="21"/>
  <c r="H690" i="21"/>
  <c r="J690" i="21" s="1"/>
  <c r="J594" i="21"/>
  <c r="H589" i="21"/>
  <c r="J499" i="21"/>
  <c r="J667" i="21"/>
  <c r="H666" i="21"/>
  <c r="J618" i="21"/>
  <c r="H617" i="21"/>
  <c r="H41" i="21"/>
  <c r="H40" i="21" s="1"/>
  <c r="H710" i="21"/>
  <c r="J710" i="21" s="1"/>
  <c r="J25" i="21"/>
  <c r="J42" i="21"/>
  <c r="H200" i="21"/>
  <c r="J200" i="21" s="1"/>
  <c r="J201" i="21"/>
  <c r="H514" i="21"/>
  <c r="J514" i="21" s="1"/>
  <c r="J515" i="21"/>
  <c r="H742" i="21"/>
  <c r="J743" i="21"/>
  <c r="H55" i="21"/>
  <c r="J56" i="21"/>
  <c r="H555" i="21"/>
  <c r="J556" i="21"/>
  <c r="H453" i="21"/>
  <c r="J453" i="21" s="1"/>
  <c r="J457" i="21"/>
  <c r="H390" i="21"/>
  <c r="J390" i="21" s="1"/>
  <c r="H28" i="21"/>
  <c r="J28" i="21" s="1"/>
  <c r="J29" i="21"/>
  <c r="H149" i="21"/>
  <c r="J149" i="21" s="1"/>
  <c r="J152" i="21"/>
  <c r="H640" i="21"/>
  <c r="J640" i="21" s="1"/>
  <c r="J641" i="21"/>
  <c r="H720" i="21"/>
  <c r="J720" i="21" s="1"/>
  <c r="H337" i="21"/>
  <c r="J337" i="21" s="1"/>
  <c r="J344" i="21"/>
  <c r="H132" i="21"/>
  <c r="J132" i="21" s="1"/>
  <c r="H350" i="21"/>
  <c r="J350" i="21" s="1"/>
  <c r="J351" i="21"/>
  <c r="H562" i="21"/>
  <c r="J562" i="21" s="1"/>
  <c r="H381" i="21"/>
  <c r="J381" i="21" s="1"/>
  <c r="J382" i="21"/>
  <c r="H755" i="21"/>
  <c r="J756" i="21"/>
  <c r="H682" i="21"/>
  <c r="J683" i="21"/>
  <c r="H705" i="21"/>
  <c r="J706" i="21"/>
  <c r="H715" i="21"/>
  <c r="J715" i="21" s="1"/>
  <c r="J716" i="21"/>
  <c r="H735" i="21"/>
  <c r="J736" i="21"/>
  <c r="H782" i="21"/>
  <c r="J783" i="21"/>
  <c r="G447" i="21"/>
  <c r="H525" i="21"/>
  <c r="J525" i="21" s="1"/>
  <c r="H296" i="21"/>
  <c r="J296" i="21" s="1"/>
  <c r="J297" i="21"/>
  <c r="H71" i="21"/>
  <c r="J71" i="21" s="1"/>
  <c r="J72" i="21"/>
  <c r="H65" i="21"/>
  <c r="J66" i="21"/>
  <c r="H469" i="21"/>
  <c r="J469" i="21" s="1"/>
  <c r="J470" i="21"/>
  <c r="H15" i="21"/>
  <c r="J16" i="21"/>
  <c r="F597" i="8"/>
  <c r="H597" i="8" s="1"/>
  <c r="H598" i="8"/>
  <c r="F426" i="8"/>
  <c r="H426" i="8" s="1"/>
  <c r="H427" i="8"/>
  <c r="F356" i="8"/>
  <c r="H356" i="8" s="1"/>
  <c r="H357" i="8"/>
  <c r="F886" i="8"/>
  <c r="H886" i="8" s="1"/>
  <c r="H887" i="8"/>
  <c r="F212" i="8"/>
  <c r="H212" i="8" s="1"/>
  <c r="H213" i="8"/>
  <c r="F361" i="8"/>
  <c r="H361" i="8" s="1"/>
  <c r="H362" i="8"/>
  <c r="F783" i="8"/>
  <c r="H783" i="8" s="1"/>
  <c r="H784" i="8"/>
  <c r="F74" i="8"/>
  <c r="H74" i="8" s="1"/>
  <c r="H75" i="8"/>
  <c r="F296" i="8"/>
  <c r="H296" i="8" s="1"/>
  <c r="H297" i="8"/>
  <c r="F632" i="8"/>
  <c r="H632" i="8" s="1"/>
  <c r="H633" i="8"/>
  <c r="F367" i="8"/>
  <c r="H367" i="8" s="1"/>
  <c r="H368" i="8"/>
  <c r="F117" i="8"/>
  <c r="H117" i="8" s="1"/>
  <c r="H118" i="8"/>
  <c r="F460" i="8"/>
  <c r="H460" i="8" s="1"/>
  <c r="H461" i="8"/>
  <c r="F602" i="8"/>
  <c r="H602" i="8" s="1"/>
  <c r="H603" i="8"/>
  <c r="F279" i="8"/>
  <c r="H279" i="8" s="1"/>
  <c r="H280" i="8"/>
  <c r="F61" i="8"/>
  <c r="H61" i="8" s="1"/>
  <c r="H62" i="8"/>
  <c r="F709" i="8"/>
  <c r="H709" i="8" s="1"/>
  <c r="H710" i="8"/>
  <c r="F542" i="8"/>
  <c r="H542" i="8" s="1"/>
  <c r="H543" i="8"/>
  <c r="F473" i="8"/>
  <c r="H473" i="8" s="1"/>
  <c r="H474" i="8"/>
  <c r="F98" i="8"/>
  <c r="H98" i="8" s="1"/>
  <c r="H99" i="8"/>
  <c r="F381" i="8"/>
  <c r="H381" i="8" s="1"/>
  <c r="H382" i="8"/>
  <c r="F170" i="8"/>
  <c r="H170" i="8" s="1"/>
  <c r="H171" i="8"/>
  <c r="G96" i="20"/>
  <c r="G683" i="20"/>
  <c r="I683" i="20" s="1"/>
  <c r="G709" i="20"/>
  <c r="I709" i="20" s="1"/>
  <c r="I306" i="20"/>
  <c r="I596" i="20"/>
  <c r="I421" i="20"/>
  <c r="I545" i="20"/>
  <c r="I481" i="20"/>
  <c r="I594" i="20"/>
  <c r="I389" i="20"/>
  <c r="I505" i="20"/>
  <c r="I612" i="20"/>
  <c r="I443" i="20"/>
  <c r="I440" i="20"/>
  <c r="G593" i="20"/>
  <c r="I437" i="20"/>
  <c r="I434" i="20"/>
  <c r="I574" i="20"/>
  <c r="I624" i="20"/>
  <c r="I566" i="20"/>
  <c r="I577" i="20"/>
  <c r="I523" i="20"/>
  <c r="I352" i="20"/>
  <c r="I452" i="20"/>
  <c r="I407" i="20"/>
  <c r="I487" i="20"/>
  <c r="I382" i="20"/>
  <c r="I499" i="20"/>
  <c r="G570" i="20"/>
  <c r="I570" i="20" s="1"/>
  <c r="I404" i="20"/>
  <c r="I571" i="20"/>
  <c r="I484" i="20"/>
  <c r="I365" i="20"/>
  <c r="I583" i="20"/>
  <c r="I493" i="20"/>
  <c r="I553" i="20"/>
  <c r="I496" i="20"/>
  <c r="I307" i="20"/>
  <c r="I932" i="20"/>
  <c r="I502" i="20"/>
  <c r="I370" i="20"/>
  <c r="G931" i="20"/>
  <c r="G930" i="20" s="1"/>
  <c r="I490" i="20"/>
  <c r="I615" i="20"/>
  <c r="I607" i="20"/>
  <c r="I415" i="20"/>
  <c r="I950" i="20"/>
  <c r="I597" i="20"/>
  <c r="I548" i="20"/>
  <c r="I418" i="20"/>
  <c r="I580" i="20"/>
  <c r="I360" i="20"/>
  <c r="I926" i="20"/>
  <c r="I621" i="20"/>
  <c r="I554" i="20"/>
  <c r="I422" i="20"/>
  <c r="I302" i="20"/>
  <c r="I291" i="20"/>
  <c r="I303" i="20"/>
  <c r="I375" i="20"/>
  <c r="I284" i="20"/>
  <c r="I941" i="20"/>
  <c r="I940" i="20"/>
  <c r="I803" i="20"/>
  <c r="I680" i="20"/>
  <c r="I883" i="20"/>
  <c r="I674" i="20"/>
  <c r="I887" i="20"/>
  <c r="I794" i="20"/>
  <c r="I331" i="20"/>
  <c r="I789" i="20"/>
  <c r="G719" i="20"/>
  <c r="G718" i="20" s="1"/>
  <c r="I720" i="20"/>
  <c r="G52" i="20"/>
  <c r="G816" i="20"/>
  <c r="I817" i="20"/>
  <c r="I807" i="20"/>
  <c r="I690" i="20"/>
  <c r="I710" i="20"/>
  <c r="I762" i="20"/>
  <c r="I779" i="20"/>
  <c r="G508" i="20"/>
  <c r="I512" i="20"/>
  <c r="I751" i="20"/>
  <c r="I824" i="20"/>
  <c r="G845" i="20"/>
  <c r="I850" i="20"/>
  <c r="I774" i="20"/>
  <c r="G924" i="20"/>
  <c r="I925" i="20"/>
  <c r="G466" i="20"/>
  <c r="G465" i="20" s="1"/>
  <c r="I469" i="20"/>
  <c r="G569" i="20"/>
  <c r="I903" i="20"/>
  <c r="G972" i="20"/>
  <c r="I973" i="20"/>
  <c r="I684" i="20"/>
  <c r="G519" i="20"/>
  <c r="I520" i="20"/>
  <c r="G341" i="20"/>
  <c r="I342" i="20"/>
  <c r="I836" i="20"/>
  <c r="I715" i="20"/>
  <c r="I728" i="20"/>
  <c r="I737" i="20"/>
  <c r="G693" i="20"/>
  <c r="I700" i="20"/>
  <c r="I806" i="20"/>
  <c r="G949" i="20"/>
  <c r="I953" i="20"/>
  <c r="I740" i="20"/>
  <c r="G518" i="20"/>
  <c r="G517" i="20" s="1"/>
  <c r="I522" i="20"/>
  <c r="G975" i="20"/>
  <c r="I976" i="20"/>
  <c r="G357" i="20"/>
  <c r="G351" i="20" s="1"/>
  <c r="I358" i="20"/>
  <c r="I703" i="20"/>
  <c r="I900" i="20"/>
  <c r="I701" i="20"/>
  <c r="G911" i="20"/>
  <c r="I912" i="20"/>
  <c r="I734" i="20"/>
  <c r="I863" i="20"/>
  <c r="I749" i="20"/>
  <c r="I893" i="20"/>
  <c r="I724" i="20"/>
  <c r="I659" i="20"/>
  <c r="I748" i="20"/>
  <c r="I862" i="20"/>
  <c r="I870" i="20"/>
  <c r="I727" i="20"/>
  <c r="G449" i="20"/>
  <c r="I450" i="20"/>
  <c r="G832" i="20"/>
  <c r="I833" i="20"/>
  <c r="I795" i="20"/>
  <c r="G960" i="20"/>
  <c r="I961" i="20"/>
  <c r="I846" i="20"/>
  <c r="I752" i="20"/>
  <c r="I677" i="20"/>
  <c r="I804" i="20"/>
  <c r="I687" i="20"/>
  <c r="G328" i="20"/>
  <c r="I329" i="20"/>
  <c r="I667" i="20"/>
  <c r="G397" i="20"/>
  <c r="I398" i="20"/>
  <c r="I169" i="20"/>
  <c r="I87" i="20"/>
  <c r="I133" i="20"/>
  <c r="I157" i="20"/>
  <c r="I84" i="20"/>
  <c r="I90" i="20"/>
  <c r="I194" i="20"/>
  <c r="I62" i="20"/>
  <c r="I59" i="20"/>
  <c r="I65" i="20"/>
  <c r="I49" i="20"/>
  <c r="I53" i="20"/>
  <c r="I97" i="20"/>
  <c r="I112" i="20"/>
  <c r="I105" i="20"/>
  <c r="I42" i="20"/>
  <c r="I52" i="20"/>
  <c r="I78" i="20"/>
  <c r="I139" i="20"/>
  <c r="I70" i="20"/>
  <c r="I176" i="20"/>
  <c r="G116" i="20"/>
  <c r="G115" i="20" s="1"/>
  <c r="I119" i="20"/>
  <c r="I100" i="20"/>
  <c r="I166" i="20"/>
  <c r="I24" i="20"/>
  <c r="I104" i="20"/>
  <c r="I93" i="20"/>
  <c r="I34" i="20"/>
  <c r="I183" i="20"/>
  <c r="I71" i="20"/>
  <c r="I15" i="20"/>
  <c r="I35" i="20"/>
  <c r="I74" i="20"/>
  <c r="I55" i="20"/>
  <c r="I130" i="20"/>
  <c r="I96" i="20"/>
  <c r="I81" i="20"/>
  <c r="I136" i="20"/>
  <c r="G146" i="20"/>
  <c r="I147" i="20"/>
  <c r="I142" i="20"/>
  <c r="G14" i="20"/>
  <c r="G13" i="20" s="1"/>
  <c r="G21" i="20"/>
  <c r="G20" i="20" s="1"/>
  <c r="I22" i="20"/>
  <c r="H395" i="21"/>
  <c r="J395" i="21" s="1"/>
  <c r="G611" i="20"/>
  <c r="G480" i="20"/>
  <c r="G162" i="20"/>
  <c r="H568" i="21"/>
  <c r="J568" i="21" s="1"/>
  <c r="G433" i="20"/>
  <c r="G403" i="20"/>
  <c r="F431" i="8"/>
  <c r="G414" i="20"/>
  <c r="F436" i="8"/>
  <c r="F266" i="8"/>
  <c r="F14" i="8"/>
  <c r="H14" i="8" s="1"/>
  <c r="F408" i="8"/>
  <c r="H408" i="8" s="1"/>
  <c r="F800" i="8"/>
  <c r="H800" i="8" s="1"/>
  <c r="F787" i="8"/>
  <c r="H787" i="8" s="1"/>
  <c r="F906" i="8"/>
  <c r="H906" i="8" s="1"/>
  <c r="F490" i="8"/>
  <c r="H490" i="8" s="1"/>
  <c r="F708" i="8"/>
  <c r="H708" i="8" s="1"/>
  <c r="F387" i="8"/>
  <c r="H387" i="8" s="1"/>
  <c r="F402" i="8"/>
  <c r="H402" i="8" s="1"/>
  <c r="F622" i="8"/>
  <c r="F761" i="8"/>
  <c r="H761" i="8" s="1"/>
  <c r="F919" i="8"/>
  <c r="H919" i="8" s="1"/>
  <c r="F879" i="8"/>
  <c r="H879" i="8" s="1"/>
  <c r="F795" i="8"/>
  <c r="H795" i="8" s="1"/>
  <c r="F704" i="8"/>
  <c r="H704" i="8" s="1"/>
  <c r="F617" i="8"/>
  <c r="H617" i="8" s="1"/>
  <c r="F941" i="8"/>
  <c r="H941" i="8" s="1"/>
  <c r="F874" i="8"/>
  <c r="H874" i="8" s="1"/>
  <c r="F826" i="8"/>
  <c r="H826" i="8" s="1"/>
  <c r="F717" i="8"/>
  <c r="H717" i="8" s="1"/>
  <c r="F652" i="8"/>
  <c r="H652" i="8" s="1"/>
  <c r="F254" i="8"/>
  <c r="H254" i="8" s="1"/>
  <c r="F25" i="8"/>
  <c r="H25" i="8" s="1"/>
  <c r="F769" i="8"/>
  <c r="H769" i="8" s="1"/>
  <c r="F676" i="8"/>
  <c r="H676" i="8" s="1"/>
  <c r="F869" i="8"/>
  <c r="H869" i="8" s="1"/>
  <c r="F739" i="8"/>
  <c r="H739" i="8" s="1"/>
  <c r="F647" i="8"/>
  <c r="H647" i="8" s="1"/>
  <c r="F484" i="8"/>
  <c r="H484" i="8" s="1"/>
  <c r="F249" i="8"/>
  <c r="H249" i="8" s="1"/>
  <c r="F901" i="8"/>
  <c r="H901" i="8" s="1"/>
  <c r="F850" i="8"/>
  <c r="H850" i="8" s="1"/>
  <c r="F750" i="8"/>
  <c r="H750" i="8" s="1"/>
  <c r="F642" i="8"/>
  <c r="H642" i="8" s="1"/>
  <c r="F397" i="8"/>
  <c r="H397" i="8" s="1"/>
  <c r="F259" i="8"/>
  <c r="H259" i="8" s="1"/>
  <c r="F831" i="8"/>
  <c r="H831" i="8" s="1"/>
  <c r="F743" i="8"/>
  <c r="H743" i="8" s="1"/>
  <c r="F776" i="8"/>
  <c r="H776" i="8" s="1"/>
  <c r="F244" i="8"/>
  <c r="F413" i="8"/>
  <c r="F239" i="8"/>
  <c r="H239" i="8" s="1"/>
  <c r="F817" i="8"/>
  <c r="H817" i="8" s="1"/>
  <c r="F855" i="8"/>
  <c r="H855" i="8" s="1"/>
  <c r="F946" i="8"/>
  <c r="H946" i="8" s="1"/>
  <c r="F896" i="8"/>
  <c r="H896" i="8" s="1"/>
  <c r="F845" i="8"/>
  <c r="H845" i="8" s="1"/>
  <c r="F728" i="8"/>
  <c r="H728" i="8" s="1"/>
  <c r="F671" i="8"/>
  <c r="H671" i="8" s="1"/>
  <c r="F572" i="8"/>
  <c r="H572" i="8" s="1"/>
  <c r="F392" i="8"/>
  <c r="H392" i="8" s="1"/>
  <c r="F914" i="8"/>
  <c r="H914" i="8" s="1"/>
  <c r="F840" i="8"/>
  <c r="H840" i="8" s="1"/>
  <c r="F808" i="8"/>
  <c r="F689" i="8"/>
  <c r="H689" i="8" s="1"/>
  <c r="F567" i="8"/>
  <c r="H567" i="8" s="1"/>
  <c r="F314" i="8"/>
  <c r="H314" i="8" s="1"/>
  <c r="F149" i="8"/>
  <c r="H149" i="8" s="1"/>
  <c r="F45" i="8"/>
  <c r="H45" i="8" s="1"/>
  <c r="F734" i="8"/>
  <c r="F733" i="8" s="1"/>
  <c r="F577" i="8"/>
  <c r="H577" i="8" s="1"/>
  <c r="F105" i="8"/>
  <c r="H105" i="8" s="1"/>
  <c r="F935" i="8"/>
  <c r="H935" i="8" s="1"/>
  <c r="F756" i="8"/>
  <c r="H756" i="8" s="1"/>
  <c r="F683" i="8"/>
  <c r="H683" i="8" s="1"/>
  <c r="F562" i="8"/>
  <c r="H562" i="8" s="1"/>
  <c r="F175" i="8"/>
  <c r="H175" i="8" s="1"/>
  <c r="F19" i="8"/>
  <c r="H19" i="8" s="1"/>
  <c r="F924" i="8"/>
  <c r="H924" i="8" s="1"/>
  <c r="F864" i="8"/>
  <c r="H864" i="8" s="1"/>
  <c r="F35" i="8"/>
  <c r="H35" i="8" s="1"/>
  <c r="H531" i="21"/>
  <c r="J531" i="21" s="1"/>
  <c r="H434" i="21"/>
  <c r="J434" i="21" s="1"/>
  <c r="H233" i="21"/>
  <c r="J233" i="21" s="1"/>
  <c r="H372" i="21"/>
  <c r="J372" i="21" s="1"/>
  <c r="G733" i="20"/>
  <c r="H139" i="21"/>
  <c r="H327" i="21"/>
  <c r="J327" i="21" s="1"/>
  <c r="G673" i="20"/>
  <c r="H424" i="21"/>
  <c r="G41" i="20"/>
  <c r="G844" i="20"/>
  <c r="G823" i="20"/>
  <c r="G77" i="20"/>
  <c r="G448" i="20"/>
  <c r="G283" i="20"/>
  <c r="G747" i="20"/>
  <c r="G129" i="20"/>
  <c r="G882" i="20"/>
  <c r="G301" i="20"/>
  <c r="G182" i="20"/>
  <c r="G290" i="20"/>
  <c r="G793" i="20"/>
  <c r="G606" i="20"/>
  <c r="G33" i="20"/>
  <c r="G103" i="20"/>
  <c r="G156" i="20"/>
  <c r="G939" i="20"/>
  <c r="G761" i="20"/>
  <c r="G892" i="20"/>
  <c r="G620" i="20"/>
  <c r="G145" i="20"/>
  <c r="G658" i="20"/>
  <c r="G544" i="20"/>
  <c r="G381" i="20"/>
  <c r="G552" i="20"/>
  <c r="G788" i="20"/>
  <c r="G666" i="20"/>
  <c r="G193" i="20"/>
  <c r="G869" i="20"/>
  <c r="G175" i="20"/>
  <c r="H576" i="21"/>
  <c r="J576" i="21" s="1"/>
  <c r="H599" i="21"/>
  <c r="H263" i="21"/>
  <c r="J263" i="21" s="1"/>
  <c r="H275" i="21"/>
  <c r="J275" i="21" s="1"/>
  <c r="H127" i="21"/>
  <c r="J127" i="21" s="1"/>
  <c r="H548" i="21"/>
  <c r="J548" i="21" s="1"/>
  <c r="H87" i="21"/>
  <c r="J87" i="21" s="1"/>
  <c r="H185" i="21"/>
  <c r="J185" i="21" s="1"/>
  <c r="H93" i="21"/>
  <c r="J93" i="21" s="1"/>
  <c r="H480" i="21"/>
  <c r="J480" i="21" s="1"/>
  <c r="H218" i="21"/>
  <c r="J218" i="21" s="1"/>
  <c r="H647" i="21"/>
  <c r="H119" i="21"/>
  <c r="J119" i="21" s="1"/>
  <c r="H209" i="21"/>
  <c r="H461" i="21"/>
  <c r="J461" i="21" s="1"/>
  <c r="J617" i="21"/>
  <c r="H771" i="21"/>
  <c r="J771" i="21" s="1"/>
  <c r="H100" i="21"/>
  <c r="J100" i="21" s="1"/>
  <c r="H317" i="21"/>
  <c r="J317" i="21" s="1"/>
  <c r="H292" i="21"/>
  <c r="J292" i="21" s="1"/>
  <c r="J489" i="21"/>
  <c r="H36" i="21"/>
  <c r="J36" i="21" s="1"/>
  <c r="H788" i="21"/>
  <c r="J788" i="21" s="1"/>
  <c r="H581" i="21"/>
  <c r="J581" i="21" s="1"/>
  <c r="F348" i="8"/>
  <c r="H348" i="8" s="1"/>
  <c r="F553" i="8"/>
  <c r="H553" i="8" s="1"/>
  <c r="F97" i="8"/>
  <c r="H97" i="8" s="1"/>
  <c r="F50" i="8"/>
  <c r="H50" i="8" s="1"/>
  <c r="F468" i="8"/>
  <c r="H468" i="8" s="1"/>
  <c r="F366" i="8"/>
  <c r="H366" i="8" s="1"/>
  <c r="F56" i="8"/>
  <c r="H56" i="8" s="1"/>
  <c r="F380" i="8"/>
  <c r="H380" i="8" s="1"/>
  <c r="F140" i="8"/>
  <c r="H140" i="8" s="1"/>
  <c r="F131" i="8"/>
  <c r="H131" i="8" s="1"/>
  <c r="F526" i="8"/>
  <c r="H526" i="8" s="1"/>
  <c r="F455" i="8"/>
  <c r="H455" i="8" s="1"/>
  <c r="F307" i="8"/>
  <c r="H307" i="8" s="1"/>
  <c r="F79" i="8"/>
  <c r="H79" i="8" s="1"/>
  <c r="F355" i="8"/>
  <c r="H355" i="8" s="1"/>
  <c r="F631" i="8"/>
  <c r="H631" i="8" s="1"/>
  <c r="F516" i="8"/>
  <c r="H516" i="8" s="1"/>
  <c r="F199" i="8"/>
  <c r="H199" i="8" s="1"/>
  <c r="F40" i="8"/>
  <c r="H40" i="8" s="1"/>
  <c r="F335" i="8"/>
  <c r="H335" i="8" s="1"/>
  <c r="F637" i="8"/>
  <c r="H637" i="8" s="1"/>
  <c r="F547" i="8"/>
  <c r="H547" i="8" s="1"/>
  <c r="F180" i="8"/>
  <c r="H180" i="8" s="1"/>
  <c r="F420" i="8"/>
  <c r="H420" i="8" s="1"/>
  <c r="F217" i="8"/>
  <c r="H217" i="8" s="1"/>
  <c r="F612" i="8"/>
  <c r="H612" i="8" s="1"/>
  <c r="F589" i="8"/>
  <c r="H589" i="8" s="1"/>
  <c r="F92" i="8"/>
  <c r="H92" i="8" s="1"/>
  <c r="F30" i="8"/>
  <c r="H30" i="8" s="1"/>
  <c r="F584" i="8"/>
  <c r="F343" i="8"/>
  <c r="H343" i="8" s="1"/>
  <c r="F185" i="8"/>
  <c r="H185" i="8" s="1"/>
  <c r="F155" i="8"/>
  <c r="H155" i="8" s="1"/>
  <c r="F67" i="8"/>
  <c r="H67" i="8" s="1"/>
  <c r="F191" i="8"/>
  <c r="H191" i="8" s="1"/>
  <c r="F596" i="8"/>
  <c r="H596" i="8" s="1"/>
  <c r="F478" i="8"/>
  <c r="H478" i="8" s="1"/>
  <c r="F425" i="8"/>
  <c r="H425" i="8" s="1"/>
  <c r="F124" i="8"/>
  <c r="H124" i="8" s="1"/>
  <c r="F511" i="8"/>
  <c r="H511" i="8" s="1"/>
  <c r="F302" i="8"/>
  <c r="H302" i="8" s="1"/>
  <c r="F627" i="8"/>
  <c r="H627" i="8" s="1"/>
  <c r="F521" i="8"/>
  <c r="H521" i="8" s="1"/>
  <c r="F274" i="8"/>
  <c r="H274" i="8" s="1"/>
  <c r="F110" i="8"/>
  <c r="H110" i="8" s="1"/>
  <c r="F290" i="8"/>
  <c r="H290" i="8" s="1"/>
  <c r="F459" i="8"/>
  <c r="H459" i="8" s="1"/>
  <c r="F376" i="8"/>
  <c r="H376" i="8" s="1"/>
  <c r="F165" i="8"/>
  <c r="H165" i="8" s="1"/>
  <c r="F160" i="8"/>
  <c r="H160" i="8" s="1"/>
  <c r="F503" i="8"/>
  <c r="H503" i="8" s="1"/>
  <c r="F497" i="8"/>
  <c r="H497" i="8" s="1"/>
  <c r="F204" i="8"/>
  <c r="H204" i="8" s="1"/>
  <c r="H498" i="21" l="1"/>
  <c r="J498" i="21" s="1"/>
  <c r="J41" i="21"/>
  <c r="J666" i="21"/>
  <c r="J682" i="21"/>
  <c r="H681" i="21"/>
  <c r="H208" i="21"/>
  <c r="H207" i="21" s="1"/>
  <c r="J599" i="21"/>
  <c r="H598" i="21"/>
  <c r="H468" i="21"/>
  <c r="J468" i="21" s="1"/>
  <c r="H131" i="21"/>
  <c r="J131" i="21" s="1"/>
  <c r="H561" i="21"/>
  <c r="J561" i="21" s="1"/>
  <c r="H24" i="21"/>
  <c r="H680" i="21"/>
  <c r="H199" i="21"/>
  <c r="J199" i="21" s="1"/>
  <c r="H513" i="21"/>
  <c r="J513" i="21" s="1"/>
  <c r="J208" i="21"/>
  <c r="J209" i="21"/>
  <c r="J589" i="21"/>
  <c r="H138" i="21"/>
  <c r="J139" i="21"/>
  <c r="H754" i="21"/>
  <c r="J755" i="21"/>
  <c r="H61" i="21"/>
  <c r="J65" i="21"/>
  <c r="H781" i="21"/>
  <c r="J781" i="21" s="1"/>
  <c r="J782" i="21"/>
  <c r="J555" i="21"/>
  <c r="H554" i="21"/>
  <c r="J554" i="21" s="1"/>
  <c r="H741" i="21"/>
  <c r="J742" i="21"/>
  <c r="H639" i="21"/>
  <c r="J639" i="21" s="1"/>
  <c r="J647" i="21"/>
  <c r="H714" i="21"/>
  <c r="J714" i="21" s="1"/>
  <c r="H719" i="21"/>
  <c r="J719" i="21" s="1"/>
  <c r="H423" i="21"/>
  <c r="J423" i="21" s="1"/>
  <c r="J424" i="21"/>
  <c r="H734" i="21"/>
  <c r="J735" i="21"/>
  <c r="H704" i="21"/>
  <c r="J705" i="21"/>
  <c r="J55" i="21"/>
  <c r="H54" i="21"/>
  <c r="H14" i="21"/>
  <c r="J15" i="21"/>
  <c r="F211" i="8"/>
  <c r="H211" i="8" s="1"/>
  <c r="F360" i="8"/>
  <c r="H360" i="8" s="1"/>
  <c r="F601" i="8"/>
  <c r="H601" i="8" s="1"/>
  <c r="F541" i="8"/>
  <c r="H541" i="8" s="1"/>
  <c r="F885" i="8"/>
  <c r="H885" i="8" s="1"/>
  <c r="F295" i="8"/>
  <c r="H295" i="8" s="1"/>
  <c r="F472" i="8"/>
  <c r="H472" i="8" s="1"/>
  <c r="F278" i="8"/>
  <c r="H278" i="8" s="1"/>
  <c r="F60" i="8"/>
  <c r="H60" i="8" s="1"/>
  <c r="F116" i="8"/>
  <c r="H116" i="8" s="1"/>
  <c r="F169" i="8"/>
  <c r="H169" i="8" s="1"/>
  <c r="F73" i="8"/>
  <c r="H73" i="8" s="1"/>
  <c r="H733" i="8"/>
  <c r="H734" i="8"/>
  <c r="F430" i="8"/>
  <c r="H430" i="8" s="1"/>
  <c r="H431" i="8"/>
  <c r="F621" i="8"/>
  <c r="H621" i="8" s="1"/>
  <c r="H622" i="8"/>
  <c r="F583" i="8"/>
  <c r="H583" i="8" s="1"/>
  <c r="H584" i="8"/>
  <c r="F807" i="8"/>
  <c r="H807" i="8" s="1"/>
  <c r="H808" i="8"/>
  <c r="F435" i="8"/>
  <c r="H435" i="8" s="1"/>
  <c r="H436" i="8"/>
  <c r="F265" i="8"/>
  <c r="H265" i="8" s="1"/>
  <c r="H266" i="8"/>
  <c r="F412" i="8"/>
  <c r="H412" i="8" s="1"/>
  <c r="H413" i="8"/>
  <c r="F243" i="8"/>
  <c r="H243" i="8" s="1"/>
  <c r="H244" i="8"/>
  <c r="F354" i="8"/>
  <c r="H354" i="8" s="1"/>
  <c r="I544" i="20"/>
  <c r="I620" i="20"/>
  <c r="I611" i="20"/>
  <c r="I328" i="20"/>
  <c r="I519" i="20"/>
  <c r="I972" i="20"/>
  <c r="I569" i="20"/>
  <c r="I931" i="20"/>
  <c r="I593" i="20"/>
  <c r="G591" i="20"/>
  <c r="I552" i="20"/>
  <c r="I465" i="20"/>
  <c r="I930" i="20"/>
  <c r="I517" i="20"/>
  <c r="I448" i="20"/>
  <c r="I403" i="20"/>
  <c r="I466" i="20"/>
  <c r="I381" i="20"/>
  <c r="I606" i="20"/>
  <c r="I433" i="20"/>
  <c r="I480" i="20"/>
  <c r="I449" i="20"/>
  <c r="I357" i="20"/>
  <c r="I518" i="20"/>
  <c r="I508" i="20"/>
  <c r="I341" i="20"/>
  <c r="I301" i="20"/>
  <c r="I351" i="20"/>
  <c r="I283" i="20"/>
  <c r="I939" i="20"/>
  <c r="I869" i="20"/>
  <c r="I658" i="20"/>
  <c r="I793" i="20"/>
  <c r="I882" i="20"/>
  <c r="I823" i="20"/>
  <c r="I673" i="20"/>
  <c r="G948" i="20"/>
  <c r="I949" i="20"/>
  <c r="G289" i="20"/>
  <c r="I290" i="20"/>
  <c r="I844" i="20"/>
  <c r="G801" i="20"/>
  <c r="G800" i="20" s="1"/>
  <c r="I802" i="20"/>
  <c r="G413" i="20"/>
  <c r="G412" i="20" s="1"/>
  <c r="I414" i="20"/>
  <c r="I960" i="20"/>
  <c r="G959" i="20"/>
  <c r="I693" i="20"/>
  <c r="G923" i="20"/>
  <c r="I924" i="20"/>
  <c r="I816" i="20"/>
  <c r="I719" i="20"/>
  <c r="I761" i="20"/>
  <c r="I747" i="20"/>
  <c r="G732" i="20"/>
  <c r="G731" i="20" s="1"/>
  <c r="I733" i="20"/>
  <c r="G831" i="20"/>
  <c r="I832" i="20"/>
  <c r="I911" i="20"/>
  <c r="G910" i="20"/>
  <c r="G971" i="20"/>
  <c r="I975" i="20"/>
  <c r="I845" i="20"/>
  <c r="I892" i="20"/>
  <c r="I718" i="20"/>
  <c r="I788" i="20"/>
  <c r="I773" i="20"/>
  <c r="G327" i="20"/>
  <c r="I666" i="20"/>
  <c r="G396" i="20"/>
  <c r="I397" i="20"/>
  <c r="I145" i="20"/>
  <c r="I21" i="20"/>
  <c r="G19" i="20"/>
  <c r="I175" i="20"/>
  <c r="I13" i="20"/>
  <c r="I33" i="20"/>
  <c r="I182" i="20"/>
  <c r="I129" i="20"/>
  <c r="I14" i="20"/>
  <c r="I116" i="20"/>
  <c r="I193" i="20"/>
  <c r="I156" i="20"/>
  <c r="I115" i="20"/>
  <c r="I41" i="20"/>
  <c r="G161" i="20"/>
  <c r="G160" i="20" s="1"/>
  <c r="I162" i="20"/>
  <c r="I146" i="20"/>
  <c r="I103" i="20"/>
  <c r="I77" i="20"/>
  <c r="F13" i="8"/>
  <c r="H13" i="8" s="1"/>
  <c r="F34" i="8"/>
  <c r="H34" i="8" s="1"/>
  <c r="F863" i="8"/>
  <c r="H863" i="8" s="1"/>
  <c r="F18" i="8"/>
  <c r="H18" i="8" s="1"/>
  <c r="F755" i="8"/>
  <c r="H755" i="8" s="1"/>
  <c r="F104" i="8"/>
  <c r="H104" i="8" s="1"/>
  <c r="F148" i="8"/>
  <c r="H148" i="8" s="1"/>
  <c r="F566" i="8"/>
  <c r="H566" i="8" s="1"/>
  <c r="F913" i="8"/>
  <c r="H913" i="8" s="1"/>
  <c r="F571" i="8"/>
  <c r="H571" i="8" s="1"/>
  <c r="F727" i="8"/>
  <c r="H727" i="8" s="1"/>
  <c r="F895" i="8"/>
  <c r="H895" i="8" s="1"/>
  <c r="F854" i="8"/>
  <c r="H854" i="8" s="1"/>
  <c r="F238" i="8"/>
  <c r="H238" i="8" s="1"/>
  <c r="F738" i="8"/>
  <c r="H738" i="8" s="1"/>
  <c r="F830" i="8"/>
  <c r="H830" i="8" s="1"/>
  <c r="F396" i="8"/>
  <c r="H396" i="8" s="1"/>
  <c r="F749" i="8"/>
  <c r="H749" i="8" s="1"/>
  <c r="F900" i="8"/>
  <c r="H900" i="8" s="1"/>
  <c r="F248" i="8"/>
  <c r="H248" i="8" s="1"/>
  <c r="F483" i="8"/>
  <c r="H483" i="8" s="1"/>
  <c r="F675" i="8"/>
  <c r="H675" i="8" s="1"/>
  <c r="F24" i="8"/>
  <c r="H24" i="8" s="1"/>
  <c r="F716" i="8"/>
  <c r="H716" i="8" s="1"/>
  <c r="F873" i="8"/>
  <c r="H873" i="8" s="1"/>
  <c r="F616" i="8"/>
  <c r="H616" i="8" s="1"/>
  <c r="F794" i="8"/>
  <c r="H794" i="8" s="1"/>
  <c r="F918" i="8"/>
  <c r="H918" i="8" s="1"/>
  <c r="F386" i="8"/>
  <c r="H386" i="8" s="1"/>
  <c r="F489" i="8"/>
  <c r="H489" i="8" s="1"/>
  <c r="F782" i="8"/>
  <c r="H782" i="8" s="1"/>
  <c r="F407" i="8"/>
  <c r="F923" i="8"/>
  <c r="H923" i="8" s="1"/>
  <c r="F174" i="8"/>
  <c r="H174" i="8" s="1"/>
  <c r="F561" i="8"/>
  <c r="H561" i="8" s="1"/>
  <c r="F682" i="8"/>
  <c r="H682" i="8" s="1"/>
  <c r="F934" i="8"/>
  <c r="H934" i="8" s="1"/>
  <c r="F576" i="8"/>
  <c r="H576" i="8" s="1"/>
  <c r="F44" i="8"/>
  <c r="H44" i="8" s="1"/>
  <c r="F313" i="8"/>
  <c r="H313" i="8" s="1"/>
  <c r="F688" i="8"/>
  <c r="H688" i="8" s="1"/>
  <c r="F839" i="8"/>
  <c r="H839" i="8" s="1"/>
  <c r="F391" i="8"/>
  <c r="H391" i="8" s="1"/>
  <c r="F670" i="8"/>
  <c r="H670" i="8" s="1"/>
  <c r="F844" i="8"/>
  <c r="H844" i="8" s="1"/>
  <c r="F945" i="8"/>
  <c r="H945" i="8" s="1"/>
  <c r="F816" i="8"/>
  <c r="H816" i="8" s="1"/>
  <c r="F775" i="8"/>
  <c r="H775" i="8" s="1"/>
  <c r="F258" i="8"/>
  <c r="H258" i="8" s="1"/>
  <c r="F641" i="8"/>
  <c r="H641" i="8" s="1"/>
  <c r="F849" i="8"/>
  <c r="H849" i="8" s="1"/>
  <c r="F646" i="8"/>
  <c r="H646" i="8" s="1"/>
  <c r="F868" i="8"/>
  <c r="H868" i="8" s="1"/>
  <c r="F768" i="8"/>
  <c r="H768" i="8" s="1"/>
  <c r="F253" i="8"/>
  <c r="H253" i="8" s="1"/>
  <c r="F651" i="8"/>
  <c r="H651" i="8" s="1"/>
  <c r="F825" i="8"/>
  <c r="H825" i="8" s="1"/>
  <c r="F940" i="8"/>
  <c r="H940" i="8" s="1"/>
  <c r="F703" i="8"/>
  <c r="H703" i="8" s="1"/>
  <c r="F878" i="8"/>
  <c r="H878" i="8" s="1"/>
  <c r="F760" i="8"/>
  <c r="H760" i="8" s="1"/>
  <c r="F401" i="8"/>
  <c r="H401" i="8" s="1"/>
  <c r="F707" i="8"/>
  <c r="H707" i="8" s="1"/>
  <c r="F905" i="8"/>
  <c r="H905" i="8" s="1"/>
  <c r="F799" i="8"/>
  <c r="H799" i="8" s="1"/>
  <c r="G619" i="20"/>
  <c r="G181" i="20"/>
  <c r="G128" i="20"/>
  <c r="G822" i="20"/>
  <c r="G815" i="20"/>
  <c r="G868" i="20"/>
  <c r="G929" i="20"/>
  <c r="G543" i="20"/>
  <c r="G938" i="20"/>
  <c r="G937" i="20" s="1"/>
  <c r="G772" i="20"/>
  <c r="G746" i="20"/>
  <c r="G282" i="20"/>
  <c r="G447" i="20"/>
  <c r="G843" i="20"/>
  <c r="G40" i="20"/>
  <c r="G665" i="20"/>
  <c r="G708" i="20"/>
  <c r="G787" i="20"/>
  <c r="G380" i="20"/>
  <c r="G891" i="20"/>
  <c r="G32" i="20"/>
  <c r="G300" i="20"/>
  <c r="G299" i="20" s="1"/>
  <c r="G610" i="20"/>
  <c r="G111" i="20"/>
  <c r="G657" i="20"/>
  <c r="G192" i="20"/>
  <c r="G12" i="20"/>
  <c r="G155" i="20"/>
  <c r="G402" i="20"/>
  <c r="G605" i="20"/>
  <c r="G792" i="20"/>
  <c r="G464" i="20"/>
  <c r="G516" i="20"/>
  <c r="G69" i="20"/>
  <c r="G672" i="20"/>
  <c r="G479" i="20"/>
  <c r="H35" i="21"/>
  <c r="J35" i="21" s="1"/>
  <c r="H291" i="21"/>
  <c r="H770" i="21"/>
  <c r="J770" i="21" s="1"/>
  <c r="H460" i="21"/>
  <c r="H512" i="21"/>
  <c r="J512" i="21" s="1"/>
  <c r="H92" i="21"/>
  <c r="J92" i="21" s="1"/>
  <c r="H198" i="21"/>
  <c r="J198" i="21" s="1"/>
  <c r="H86" i="21"/>
  <c r="J86" i="21" s="1"/>
  <c r="H126" i="21"/>
  <c r="J126" i="21" s="1"/>
  <c r="J598" i="21"/>
  <c r="H316" i="21"/>
  <c r="J316" i="21" s="1"/>
  <c r="H70" i="21"/>
  <c r="H262" i="21"/>
  <c r="J40" i="21"/>
  <c r="H530" i="21"/>
  <c r="J530" i="21" s="1"/>
  <c r="H787" i="21"/>
  <c r="J787" i="21" s="1"/>
  <c r="H371" i="21"/>
  <c r="H616" i="21"/>
  <c r="J616" i="21" s="1"/>
  <c r="H567" i="21"/>
  <c r="J567" i="21" s="1"/>
  <c r="H181" i="21"/>
  <c r="J181" i="21" s="1"/>
  <c r="H575" i="21"/>
  <c r="J575" i="21" s="1"/>
  <c r="H580" i="21"/>
  <c r="J580" i="21" s="1"/>
  <c r="H479" i="21"/>
  <c r="J479" i="21" s="1"/>
  <c r="H497" i="21"/>
  <c r="F496" i="8"/>
  <c r="H496" i="8" s="1"/>
  <c r="F190" i="8"/>
  <c r="H190" i="8" s="1"/>
  <c r="F342" i="8"/>
  <c r="H342" i="8" s="1"/>
  <c r="F458" i="8"/>
  <c r="H458" i="8" s="1"/>
  <c r="F109" i="8"/>
  <c r="H109" i="8" s="1"/>
  <c r="F210" i="8"/>
  <c r="H210" i="8" s="1"/>
  <c r="F301" i="8"/>
  <c r="H301" i="8" s="1"/>
  <c r="F424" i="8"/>
  <c r="H424" i="8" s="1"/>
  <c r="F179" i="8"/>
  <c r="H179" i="8" s="1"/>
  <c r="F78" i="8"/>
  <c r="H78" i="8" s="1"/>
  <c r="F454" i="8"/>
  <c r="H454" i="8" s="1"/>
  <c r="F139" i="8"/>
  <c r="H139" i="8" s="1"/>
  <c r="F55" i="8"/>
  <c r="H55" i="8" s="1"/>
  <c r="F467" i="8"/>
  <c r="H467" i="8" s="1"/>
  <c r="F510" i="8"/>
  <c r="H510" i="8" s="1"/>
  <c r="F91" i="8"/>
  <c r="H91" i="8" s="1"/>
  <c r="F546" i="8"/>
  <c r="H546" i="8" s="1"/>
  <c r="F203" i="8"/>
  <c r="H203" i="8" s="1"/>
  <c r="F289" i="8"/>
  <c r="H289" i="8" s="1"/>
  <c r="F520" i="8"/>
  <c r="H520" i="8" s="1"/>
  <c r="F66" i="8"/>
  <c r="H66" i="8" s="1"/>
  <c r="F184" i="8"/>
  <c r="H184" i="8" s="1"/>
  <c r="F29" i="8"/>
  <c r="H29" i="8" s="1"/>
  <c r="F588" i="8"/>
  <c r="H588" i="8" s="1"/>
  <c r="F419" i="8"/>
  <c r="H419" i="8" s="1"/>
  <c r="F636" i="8"/>
  <c r="H636" i="8" s="1"/>
  <c r="F39" i="8"/>
  <c r="H39" i="8" s="1"/>
  <c r="F198" i="8"/>
  <c r="H198" i="8" s="1"/>
  <c r="F525" i="8"/>
  <c r="H525" i="8" s="1"/>
  <c r="F347" i="8"/>
  <c r="H347" i="8" s="1"/>
  <c r="F154" i="8"/>
  <c r="H154" i="8" s="1"/>
  <c r="F216" i="8"/>
  <c r="H216" i="8" s="1"/>
  <c r="F552" i="8"/>
  <c r="H552" i="8" s="1"/>
  <c r="F502" i="8"/>
  <c r="H502" i="8" s="1"/>
  <c r="F159" i="8"/>
  <c r="H159" i="8" s="1"/>
  <c r="F164" i="8"/>
  <c r="H164" i="8" s="1"/>
  <c r="F375" i="8"/>
  <c r="H375" i="8" s="1"/>
  <c r="F273" i="8"/>
  <c r="H273" i="8" s="1"/>
  <c r="F626" i="8"/>
  <c r="H626" i="8" s="1"/>
  <c r="F123" i="8"/>
  <c r="H123" i="8" s="1"/>
  <c r="F477" i="8"/>
  <c r="H477" i="8" s="1"/>
  <c r="F611" i="8"/>
  <c r="H611" i="8" s="1"/>
  <c r="F334" i="8"/>
  <c r="H334" i="8" s="1"/>
  <c r="F515" i="8"/>
  <c r="H515" i="8" s="1"/>
  <c r="F130" i="8"/>
  <c r="H130" i="8" s="1"/>
  <c r="F379" i="8"/>
  <c r="H379" i="8" s="1"/>
  <c r="F49" i="8"/>
  <c r="H49" i="8" s="1"/>
  <c r="F517" i="21"/>
  <c r="G517" i="21" s="1"/>
  <c r="F516" i="21"/>
  <c r="G516" i="21" s="1"/>
  <c r="J680" i="21" l="1"/>
  <c r="H679" i="21"/>
  <c r="H665" i="21" s="1"/>
  <c r="H657" i="21" s="1"/>
  <c r="J497" i="21"/>
  <c r="H560" i="21"/>
  <c r="H553" i="21" s="1"/>
  <c r="J553" i="21" s="1"/>
  <c r="H467" i="21"/>
  <c r="J467" i="21" s="1"/>
  <c r="J681" i="21"/>
  <c r="H23" i="21"/>
  <c r="J24" i="21"/>
  <c r="H366" i="21"/>
  <c r="J366" i="21" s="1"/>
  <c r="J371" i="21"/>
  <c r="H228" i="21"/>
  <c r="J228" i="21" s="1"/>
  <c r="J262" i="21"/>
  <c r="H703" i="21"/>
  <c r="J703" i="21" s="1"/>
  <c r="J704" i="21"/>
  <c r="J61" i="21"/>
  <c r="H60" i="21"/>
  <c r="J60" i="21" s="1"/>
  <c r="J754" i="21"/>
  <c r="H753" i="21"/>
  <c r="J54" i="21"/>
  <c r="H53" i="21"/>
  <c r="J53" i="21" s="1"/>
  <c r="H709" i="21"/>
  <c r="J709" i="21" s="1"/>
  <c r="H394" i="21"/>
  <c r="J394" i="21" s="1"/>
  <c r="J460" i="21"/>
  <c r="H733" i="21"/>
  <c r="J733" i="21" s="1"/>
  <c r="J734" i="21"/>
  <c r="J741" i="21"/>
  <c r="H740" i="21"/>
  <c r="J740" i="21" s="1"/>
  <c r="H137" i="21"/>
  <c r="J137" i="21" s="1"/>
  <c r="J138" i="21"/>
  <c r="H274" i="21"/>
  <c r="J274" i="21" s="1"/>
  <c r="J291" i="21"/>
  <c r="H59" i="21"/>
  <c r="J59" i="21" s="1"/>
  <c r="J70" i="21"/>
  <c r="H13" i="21"/>
  <c r="H12" i="21" s="1"/>
  <c r="J14" i="21"/>
  <c r="F264" i="8"/>
  <c r="H264" i="8" s="1"/>
  <c r="F884" i="8"/>
  <c r="H884" i="8" s="1"/>
  <c r="H767" i="8"/>
  <c r="F406" i="8"/>
  <c r="H406" i="8" s="1"/>
  <c r="H407" i="8"/>
  <c r="I447" i="20"/>
  <c r="I923" i="20"/>
  <c r="I479" i="20"/>
  <c r="I464" i="20"/>
  <c r="I412" i="20"/>
  <c r="I605" i="20"/>
  <c r="I543" i="20"/>
  <c r="I619" i="20"/>
  <c r="I592" i="20"/>
  <c r="I516" i="20"/>
  <c r="I402" i="20"/>
  <c r="I610" i="20"/>
  <c r="I929" i="20"/>
  <c r="I413" i="20"/>
  <c r="I300" i="20"/>
  <c r="I299" i="20"/>
  <c r="I282" i="20"/>
  <c r="I289" i="20"/>
  <c r="I591" i="20"/>
  <c r="I938" i="20"/>
  <c r="I708" i="20"/>
  <c r="I891" i="20"/>
  <c r="I868" i="20"/>
  <c r="I801" i="20"/>
  <c r="I672" i="20"/>
  <c r="G346" i="20"/>
  <c r="I380" i="20"/>
  <c r="I746" i="20"/>
  <c r="I815" i="20"/>
  <c r="I327" i="20"/>
  <c r="G326" i="20"/>
  <c r="G325" i="20" s="1"/>
  <c r="I971" i="20"/>
  <c r="G970" i="20"/>
  <c r="I732" i="20"/>
  <c r="I731" i="20"/>
  <c r="I792" i="20"/>
  <c r="I800" i="20"/>
  <c r="I657" i="20"/>
  <c r="I787" i="20"/>
  <c r="I843" i="20"/>
  <c r="I772" i="20"/>
  <c r="I822" i="20"/>
  <c r="I910" i="20"/>
  <c r="G909" i="20"/>
  <c r="I831" i="20"/>
  <c r="G830" i="20"/>
  <c r="G958" i="20"/>
  <c r="I959" i="20"/>
  <c r="G947" i="20"/>
  <c r="I948" i="20"/>
  <c r="I665" i="20"/>
  <c r="G395" i="20"/>
  <c r="I396" i="20"/>
  <c r="I192" i="20"/>
  <c r="I40" i="20"/>
  <c r="I181" i="20"/>
  <c r="I111" i="20"/>
  <c r="I69" i="20"/>
  <c r="I155" i="20"/>
  <c r="I19" i="20"/>
  <c r="I160" i="20"/>
  <c r="I12" i="20"/>
  <c r="I161" i="20"/>
  <c r="I32" i="20"/>
  <c r="G123" i="20"/>
  <c r="I128" i="20"/>
  <c r="I20" i="20"/>
  <c r="F595" i="8"/>
  <c r="H595" i="8" s="1"/>
  <c r="F385" i="8"/>
  <c r="H385" i="8" s="1"/>
  <c r="F237" i="8"/>
  <c r="H237" i="8" s="1"/>
  <c r="F12" i="8"/>
  <c r="H12" i="8" s="1"/>
  <c r="F72" i="8"/>
  <c r="H72" i="8" s="1"/>
  <c r="F488" i="8"/>
  <c r="H488" i="8" s="1"/>
  <c r="F793" i="8"/>
  <c r="H793" i="8" s="1"/>
  <c r="F754" i="8"/>
  <c r="H754" i="8" s="1"/>
  <c r="F702" i="8"/>
  <c r="H702" i="8" s="1"/>
  <c r="F767" i="8"/>
  <c r="F681" i="8"/>
  <c r="H681" i="8" s="1"/>
  <c r="F715" i="8"/>
  <c r="H715" i="8" s="1"/>
  <c r="F482" i="8"/>
  <c r="H482" i="8" s="1"/>
  <c r="F721" i="8"/>
  <c r="H721" i="8" s="1"/>
  <c r="F912" i="8"/>
  <c r="H912" i="8" s="1"/>
  <c r="F939" i="8"/>
  <c r="H939" i="8" s="1"/>
  <c r="F687" i="8"/>
  <c r="H687" i="8" s="1"/>
  <c r="F928" i="8"/>
  <c r="H928" i="8" s="1"/>
  <c r="F96" i="8"/>
  <c r="H96" i="8" s="1"/>
  <c r="G671" i="20"/>
  <c r="G154" i="20"/>
  <c r="G745" i="20"/>
  <c r="G922" i="20"/>
  <c r="G867" i="20"/>
  <c r="G39" i="20"/>
  <c r="G288" i="20"/>
  <c r="G618" i="20"/>
  <c r="G821" i="20"/>
  <c r="G463" i="20"/>
  <c r="G604" i="20"/>
  <c r="G401" i="20"/>
  <c r="G590" i="20"/>
  <c r="G110" i="20"/>
  <c r="G664" i="20"/>
  <c r="G446" i="20"/>
  <c r="G281" i="20"/>
  <c r="G771" i="20"/>
  <c r="G542" i="20"/>
  <c r="G411" i="20"/>
  <c r="G814" i="20"/>
  <c r="G656" i="20"/>
  <c r="G707" i="20"/>
  <c r="G180" i="20"/>
  <c r="G18" i="20"/>
  <c r="H566" i="21"/>
  <c r="J566" i="21" s="1"/>
  <c r="H511" i="21"/>
  <c r="J511" i="21" s="1"/>
  <c r="H180" i="21"/>
  <c r="J180" i="21" s="1"/>
  <c r="H529" i="21"/>
  <c r="J529" i="21" s="1"/>
  <c r="H478" i="21"/>
  <c r="J478" i="21" s="1"/>
  <c r="H615" i="21"/>
  <c r="J615" i="21" s="1"/>
  <c r="H315" i="21"/>
  <c r="J315" i="21" s="1"/>
  <c r="H85" i="21"/>
  <c r="J85" i="21" s="1"/>
  <c r="H769" i="21"/>
  <c r="J769" i="21" s="1"/>
  <c r="H638" i="21"/>
  <c r="J638" i="21" s="1"/>
  <c r="H786" i="21"/>
  <c r="J786" i="21" s="1"/>
  <c r="J207" i="21"/>
  <c r="H34" i="21"/>
  <c r="J34" i="21" s="1"/>
  <c r="F333" i="8"/>
  <c r="H333" i="8" s="1"/>
  <c r="F272" i="8"/>
  <c r="H272" i="8" s="1"/>
  <c r="F501" i="8"/>
  <c r="H501" i="8" s="1"/>
  <c r="F551" i="8"/>
  <c r="H551" i="8" s="1"/>
  <c r="F582" i="8"/>
  <c r="H582" i="8" s="1"/>
  <c r="F65" i="8"/>
  <c r="H65" i="8" s="1"/>
  <c r="F509" i="8"/>
  <c r="H509" i="8" s="1"/>
  <c r="F138" i="8"/>
  <c r="H138" i="8" s="1"/>
  <c r="F189" i="8"/>
  <c r="H189" i="8" s="1"/>
  <c r="F215" i="8"/>
  <c r="H215" i="8" s="1"/>
  <c r="F374" i="8"/>
  <c r="H374" i="8" s="1"/>
  <c r="F90" i="8"/>
  <c r="H90" i="8" s="1"/>
  <c r="F418" i="8"/>
  <c r="H418" i="8" s="1"/>
  <c r="F23" i="8"/>
  <c r="H23" i="8" s="1"/>
  <c r="F466" i="8"/>
  <c r="H466" i="8" s="1"/>
  <c r="F54" i="8"/>
  <c r="H54" i="8" s="1"/>
  <c r="F453" i="8"/>
  <c r="H453" i="8" s="1"/>
  <c r="F445" i="21"/>
  <c r="J560" i="21" l="1"/>
  <c r="J679" i="21"/>
  <c r="H466" i="21"/>
  <c r="J466" i="21" s="1"/>
  <c r="H588" i="21"/>
  <c r="H587" i="21" s="1"/>
  <c r="H22" i="21"/>
  <c r="J22" i="21" s="1"/>
  <c r="J23" i="21"/>
  <c r="J665" i="21"/>
  <c r="H136" i="21"/>
  <c r="H91" i="21" s="1"/>
  <c r="J91" i="21" s="1"/>
  <c r="H227" i="21"/>
  <c r="J227" i="21" s="1"/>
  <c r="H702" i="21"/>
  <c r="J702" i="21" s="1"/>
  <c r="H752" i="21"/>
  <c r="H751" i="21" s="1"/>
  <c r="J753" i="21"/>
  <c r="J12" i="21"/>
  <c r="J13" i="21"/>
  <c r="F263" i="8"/>
  <c r="H263" i="8" s="1"/>
  <c r="I604" i="20"/>
  <c r="I958" i="20"/>
  <c r="I411" i="20"/>
  <c r="I463" i="20"/>
  <c r="I542" i="20"/>
  <c r="I446" i="20"/>
  <c r="I947" i="20"/>
  <c r="I401" i="20"/>
  <c r="I618" i="20"/>
  <c r="I922" i="20"/>
  <c r="I325" i="20"/>
  <c r="I346" i="20"/>
  <c r="I288" i="20"/>
  <c r="I590" i="20"/>
  <c r="G969" i="20"/>
  <c r="I970" i="20"/>
  <c r="I745" i="20"/>
  <c r="I830" i="20"/>
  <c r="G829" i="20"/>
  <c r="I814" i="20"/>
  <c r="I671" i="20"/>
  <c r="I707" i="20"/>
  <c r="I821" i="20"/>
  <c r="I326" i="20"/>
  <c r="I771" i="20"/>
  <c r="I909" i="20"/>
  <c r="G908" i="20"/>
  <c r="I656" i="20"/>
  <c r="G936" i="20"/>
  <c r="I937" i="20"/>
  <c r="I867" i="20"/>
  <c r="G473" i="20"/>
  <c r="G462" i="20" s="1"/>
  <c r="I515" i="20"/>
  <c r="I664" i="20"/>
  <c r="I395" i="20"/>
  <c r="G394" i="20"/>
  <c r="G280" i="20"/>
  <c r="I281" i="20"/>
  <c r="I18" i="20"/>
  <c r="I123" i="20"/>
  <c r="I180" i="20"/>
  <c r="I110" i="20"/>
  <c r="I39" i="20"/>
  <c r="G153" i="20"/>
  <c r="I154" i="20"/>
  <c r="F271" i="8"/>
  <c r="H271" i="8" s="1"/>
  <c r="F701" i="8"/>
  <c r="H701" i="8" s="1"/>
  <c r="F209" i="8"/>
  <c r="F417" i="8"/>
  <c r="H417" i="8" s="1"/>
  <c r="F714" i="8"/>
  <c r="H714" i="8" s="1"/>
  <c r="H193" i="21"/>
  <c r="J193" i="21" s="1"/>
  <c r="F11" i="8"/>
  <c r="H11" i="8" s="1"/>
  <c r="G393" i="20"/>
  <c r="G345" i="20"/>
  <c r="G324" i="20" s="1"/>
  <c r="G179" i="20"/>
  <c r="G663" i="20"/>
  <c r="G820" i="20"/>
  <c r="G38" i="20"/>
  <c r="G109" i="20"/>
  <c r="G589" i="20"/>
  <c r="G287" i="20"/>
  <c r="G706" i="20"/>
  <c r="G770" i="20"/>
  <c r="G432" i="20"/>
  <c r="G744" i="20"/>
  <c r="G799" i="20"/>
  <c r="H179" i="21"/>
  <c r="J179" i="21" s="1"/>
  <c r="H768" i="21"/>
  <c r="J768" i="21" s="1"/>
  <c r="F444" i="21"/>
  <c r="G444" i="21" s="1"/>
  <c r="G445" i="21"/>
  <c r="H33" i="21"/>
  <c r="J33" i="21" s="1"/>
  <c r="H637" i="21"/>
  <c r="J637" i="21" s="1"/>
  <c r="H477" i="21"/>
  <c r="J477" i="21" s="1"/>
  <c r="F137" i="8"/>
  <c r="H137" i="8" s="1"/>
  <c r="F581" i="8"/>
  <c r="F452" i="8"/>
  <c r="H452" i="8" s="1"/>
  <c r="F373" i="8"/>
  <c r="H373" i="8" s="1"/>
  <c r="F332" i="8"/>
  <c r="H332" i="8" s="1"/>
  <c r="F75" i="21"/>
  <c r="G75" i="21" s="1"/>
  <c r="F74" i="21"/>
  <c r="G74" i="21" s="1"/>
  <c r="J588" i="21" l="1"/>
  <c r="H465" i="21"/>
  <c r="J657" i="21"/>
  <c r="J136" i="21"/>
  <c r="J752" i="21"/>
  <c r="J465" i="21"/>
  <c r="H732" i="8"/>
  <c r="H806" i="8"/>
  <c r="F530" i="8"/>
  <c r="H530" i="8" s="1"/>
  <c r="H581" i="8"/>
  <c r="F208" i="8"/>
  <c r="H209" i="8"/>
  <c r="G968" i="20"/>
  <c r="I432" i="20"/>
  <c r="I462" i="20"/>
  <c r="I473" i="20"/>
  <c r="I393" i="20"/>
  <c r="I394" i="20"/>
  <c r="I345" i="20"/>
  <c r="I287" i="20"/>
  <c r="I280" i="20"/>
  <c r="I589" i="20"/>
  <c r="I936" i="20"/>
  <c r="I744" i="20"/>
  <c r="I829" i="20"/>
  <c r="I706" i="20"/>
  <c r="I820" i="20"/>
  <c r="I908" i="20"/>
  <c r="G881" i="20"/>
  <c r="I799" i="20"/>
  <c r="I770" i="20"/>
  <c r="I969" i="20"/>
  <c r="I663" i="20"/>
  <c r="I109" i="20"/>
  <c r="I153" i="20"/>
  <c r="I179" i="20"/>
  <c r="I38" i="20"/>
  <c r="F700" i="8"/>
  <c r="H700" i="8" s="1"/>
  <c r="F465" i="8"/>
  <c r="H465" i="8" s="1"/>
  <c r="F71" i="8"/>
  <c r="H71" i="8" s="1"/>
  <c r="G279" i="20"/>
  <c r="G769" i="20"/>
  <c r="G551" i="20"/>
  <c r="G798" i="20"/>
  <c r="G11" i="20"/>
  <c r="G935" i="20"/>
  <c r="G108" i="20"/>
  <c r="H11" i="21"/>
  <c r="J11" i="21" s="1"/>
  <c r="H178" i="21"/>
  <c r="J178" i="21" s="1"/>
  <c r="F451" i="8"/>
  <c r="H451" i="8" s="1"/>
  <c r="F331" i="8"/>
  <c r="H331" i="8" s="1"/>
  <c r="F372" i="8"/>
  <c r="H372" i="8" s="1"/>
  <c r="J587" i="21" l="1"/>
  <c r="H510" i="21"/>
  <c r="H636" i="21"/>
  <c r="J636" i="21" s="1"/>
  <c r="J751" i="21"/>
  <c r="H739" i="21"/>
  <c r="J739" i="21" s="1"/>
  <c r="F153" i="8"/>
  <c r="H153" i="8" s="1"/>
  <c r="H208" i="8"/>
  <c r="I279" i="20"/>
  <c r="I935" i="20"/>
  <c r="I881" i="20"/>
  <c r="I968" i="20"/>
  <c r="G967" i="20"/>
  <c r="I769" i="20"/>
  <c r="G316" i="20"/>
  <c r="I324" i="20"/>
  <c r="I798" i="20"/>
  <c r="G541" i="20"/>
  <c r="I551" i="20"/>
  <c r="I743" i="20"/>
  <c r="I11" i="20"/>
  <c r="I108" i="20"/>
  <c r="F680" i="8"/>
  <c r="H680" i="8" s="1"/>
  <c r="G410" i="20"/>
  <c r="G10" i="20"/>
  <c r="G670" i="20"/>
  <c r="H314" i="21"/>
  <c r="J314" i="21" s="1"/>
  <c r="J510" i="21"/>
  <c r="F450" i="8"/>
  <c r="H450" i="8" s="1"/>
  <c r="F371" i="8"/>
  <c r="H371" i="8" s="1"/>
  <c r="I967" i="20" l="1"/>
  <c r="I410" i="20"/>
  <c r="I316" i="20"/>
  <c r="I541" i="20"/>
  <c r="I880" i="20"/>
  <c r="G828" i="20"/>
  <c r="I670" i="20"/>
  <c r="I10" i="20"/>
  <c r="H10" i="21"/>
  <c r="J10" i="21" s="1"/>
  <c r="G655" i="20"/>
  <c r="G392" i="20"/>
  <c r="F384" i="8"/>
  <c r="H384" i="8" s="1"/>
  <c r="F270" i="8"/>
  <c r="H270" i="8" s="1"/>
  <c r="I828" i="20" l="1"/>
  <c r="G827" i="20"/>
  <c r="I655" i="20"/>
  <c r="I392" i="20"/>
  <c r="F10" i="8"/>
  <c r="H10" i="8" s="1"/>
  <c r="I827" i="20" l="1"/>
  <c r="G9" i="20"/>
  <c r="I9" i="20" s="1"/>
  <c r="F258" i="21"/>
  <c r="G258" i="21" s="1"/>
  <c r="F784" i="21" l="1"/>
  <c r="F779" i="21"/>
  <c r="G779" i="21" s="1"/>
  <c r="F775" i="21"/>
  <c r="G775" i="21" s="1"/>
  <c r="F774" i="21"/>
  <c r="F761" i="21"/>
  <c r="G761" i="21" s="1"/>
  <c r="F760" i="21"/>
  <c r="F757" i="21"/>
  <c r="F744" i="21"/>
  <c r="F737" i="21"/>
  <c r="F728" i="21"/>
  <c r="F725" i="21"/>
  <c r="F717" i="21"/>
  <c r="F712" i="21"/>
  <c r="F707" i="21"/>
  <c r="F695" i="21"/>
  <c r="G695" i="21" s="1"/>
  <c r="F692" i="21"/>
  <c r="F688" i="21"/>
  <c r="G688" i="21" s="1"/>
  <c r="F687" i="21"/>
  <c r="F684" i="21"/>
  <c r="F677" i="21"/>
  <c r="F674" i="21"/>
  <c r="F671" i="21"/>
  <c r="F668" i="21"/>
  <c r="F649" i="21"/>
  <c r="F645" i="21"/>
  <c r="F643" i="21"/>
  <c r="F557" i="21"/>
  <c r="F629" i="21"/>
  <c r="F626" i="21"/>
  <c r="F623" i="21"/>
  <c r="F620" i="21"/>
  <c r="F613" i="21"/>
  <c r="G613" i="21" s="1"/>
  <c r="F611" i="21"/>
  <c r="G611" i="21" s="1"/>
  <c r="F608" i="21"/>
  <c r="G608" i="21" s="1"/>
  <c r="F605" i="21"/>
  <c r="G605" i="21" s="1"/>
  <c r="F604" i="21"/>
  <c r="F602" i="21"/>
  <c r="F595" i="21"/>
  <c r="F590" i="21"/>
  <c r="G590" i="21" s="1"/>
  <c r="F583" i="21"/>
  <c r="F578" i="21"/>
  <c r="F573" i="21"/>
  <c r="F570" i="21"/>
  <c r="F564" i="21"/>
  <c r="F550" i="21"/>
  <c r="F537" i="21"/>
  <c r="F533" i="21"/>
  <c r="F527" i="21"/>
  <c r="F519" i="21"/>
  <c r="F515" i="21"/>
  <c r="F505" i="21"/>
  <c r="G505" i="21" s="1"/>
  <c r="F504" i="21"/>
  <c r="F501" i="21"/>
  <c r="F496" i="21"/>
  <c r="F494" i="21"/>
  <c r="F492" i="21"/>
  <c r="F487" i="21"/>
  <c r="G487" i="21" s="1"/>
  <c r="F486" i="21"/>
  <c r="F483" i="21"/>
  <c r="F475" i="21"/>
  <c r="G475" i="21" s="1"/>
  <c r="F474" i="21"/>
  <c r="F471" i="21"/>
  <c r="F463" i="21"/>
  <c r="F458" i="21"/>
  <c r="F442" i="21"/>
  <c r="F439" i="21"/>
  <c r="F436" i="21"/>
  <c r="F432" i="21"/>
  <c r="F429" i="21"/>
  <c r="F426" i="21"/>
  <c r="F421" i="21"/>
  <c r="F419" i="21"/>
  <c r="F415" i="21"/>
  <c r="F412" i="21"/>
  <c r="F409" i="21"/>
  <c r="F406" i="21"/>
  <c r="F403" i="21"/>
  <c r="F400" i="21"/>
  <c r="F397" i="21"/>
  <c r="F392" i="21"/>
  <c r="F388" i="21"/>
  <c r="F385" i="21"/>
  <c r="G385" i="21" s="1"/>
  <c r="F384" i="21"/>
  <c r="F379" i="21"/>
  <c r="F376" i="21"/>
  <c r="F364" i="21"/>
  <c r="F352" i="21"/>
  <c r="F348" i="21"/>
  <c r="F346" i="21"/>
  <c r="F335" i="21"/>
  <c r="F332" i="21"/>
  <c r="F329" i="21"/>
  <c r="F325" i="21"/>
  <c r="F322" i="21"/>
  <c r="F319" i="21"/>
  <c r="F304" i="21"/>
  <c r="F298" i="21"/>
  <c r="F301" i="21"/>
  <c r="F294" i="21"/>
  <c r="F289" i="21"/>
  <c r="F286" i="21"/>
  <c r="F283" i="21"/>
  <c r="F280" i="21"/>
  <c r="F277" i="21"/>
  <c r="F272" i="21"/>
  <c r="F269" i="21"/>
  <c r="G269" i="21" s="1"/>
  <c r="F268" i="21"/>
  <c r="F266" i="21"/>
  <c r="F260" i="21"/>
  <c r="G260" i="21" s="1"/>
  <c r="F255" i="21"/>
  <c r="G255" i="21" s="1"/>
  <c r="F253" i="21"/>
  <c r="G253" i="21" s="1"/>
  <c r="F248" i="21"/>
  <c r="F243" i="21"/>
  <c r="F241" i="21"/>
  <c r="F235" i="21"/>
  <c r="F220" i="21"/>
  <c r="F216" i="21"/>
  <c r="G216" i="21" s="1"/>
  <c r="F214" i="21"/>
  <c r="G214" i="21" s="1"/>
  <c r="F212" i="21"/>
  <c r="F205" i="21"/>
  <c r="G205" i="21" s="1"/>
  <c r="F204" i="21"/>
  <c r="F202" i="21"/>
  <c r="F191" i="21"/>
  <c r="G191" i="21" s="1"/>
  <c r="F190" i="21"/>
  <c r="F188" i="21"/>
  <c r="F183" i="21"/>
  <c r="F165" i="21"/>
  <c r="G165" i="21" s="1"/>
  <c r="F164" i="21"/>
  <c r="G164" i="21" s="1"/>
  <c r="F160" i="21"/>
  <c r="F157" i="21"/>
  <c r="F154" i="21"/>
  <c r="G154" i="21" s="1"/>
  <c r="F153" i="21"/>
  <c r="F151" i="21"/>
  <c r="F147" i="21"/>
  <c r="F144" i="21"/>
  <c r="G144" i="21" s="1"/>
  <c r="F143" i="21"/>
  <c r="F141" i="21"/>
  <c r="F134" i="21"/>
  <c r="F129" i="21"/>
  <c r="F124" i="21"/>
  <c r="F121" i="21"/>
  <c r="F117" i="21"/>
  <c r="F114" i="21"/>
  <c r="F111" i="21"/>
  <c r="F108" i="21"/>
  <c r="F105" i="21"/>
  <c r="F102" i="21"/>
  <c r="F98" i="21"/>
  <c r="F95" i="21"/>
  <c r="F89" i="21"/>
  <c r="F67" i="21"/>
  <c r="G67" i="21" s="1"/>
  <c r="F64" i="21"/>
  <c r="G64" i="21" s="1"/>
  <c r="F38" i="21"/>
  <c r="F31" i="21"/>
  <c r="G31" i="21" s="1"/>
  <c r="F30" i="21"/>
  <c r="F27" i="21"/>
  <c r="F17" i="21"/>
  <c r="F265" i="21" l="1"/>
  <c r="G265" i="21" s="1"/>
  <c r="G266" i="21"/>
  <c r="F482" i="21"/>
  <c r="F481" i="21" s="1"/>
  <c r="G481" i="21" s="1"/>
  <c r="G483" i="21"/>
  <c r="F493" i="21"/>
  <c r="G493" i="21" s="1"/>
  <c r="G494" i="21"/>
  <c r="F756" i="21"/>
  <c r="F755" i="21" s="1"/>
  <c r="G757" i="21"/>
  <c r="F26" i="21"/>
  <c r="G26" i="21" s="1"/>
  <c r="G27" i="21"/>
  <c r="F201" i="21"/>
  <c r="G201" i="21" s="1"/>
  <c r="G202" i="21"/>
  <c r="F140" i="21"/>
  <c r="G140" i="21" s="1"/>
  <c r="G141" i="21"/>
  <c r="F150" i="21"/>
  <c r="G150" i="21" s="1"/>
  <c r="G151" i="21"/>
  <c r="F187" i="21"/>
  <c r="G187" i="21" s="1"/>
  <c r="G188" i="21"/>
  <c r="F203" i="21"/>
  <c r="G203" i="21" s="1"/>
  <c r="G204" i="21"/>
  <c r="F267" i="21"/>
  <c r="G267" i="21" s="1"/>
  <c r="G268" i="21"/>
  <c r="F470" i="21"/>
  <c r="F469" i="21" s="1"/>
  <c r="G469" i="21" s="1"/>
  <c r="G471" i="21"/>
  <c r="F485" i="21"/>
  <c r="G485" i="21" s="1"/>
  <c r="G486" i="21"/>
  <c r="F495" i="21"/>
  <c r="G495" i="21" s="1"/>
  <c r="G496" i="21"/>
  <c r="F601" i="21"/>
  <c r="G601" i="21" s="1"/>
  <c r="G602" i="21"/>
  <c r="F619" i="21"/>
  <c r="F618" i="21" s="1"/>
  <c r="G618" i="21" s="1"/>
  <c r="G620" i="21"/>
  <c r="F642" i="21"/>
  <c r="F641" i="21" s="1"/>
  <c r="G641" i="21" s="1"/>
  <c r="G643" i="21"/>
  <c r="F759" i="21"/>
  <c r="G759" i="21" s="1"/>
  <c r="G760" i="21"/>
  <c r="F152" i="21"/>
  <c r="G152" i="21" s="1"/>
  <c r="G153" i="21"/>
  <c r="F189" i="21"/>
  <c r="G189" i="21" s="1"/>
  <c r="G190" i="21"/>
  <c r="F383" i="21"/>
  <c r="G383" i="21" s="1"/>
  <c r="G384" i="21"/>
  <c r="F473" i="21"/>
  <c r="G473" i="21" s="1"/>
  <c r="G474" i="21"/>
  <c r="F500" i="21"/>
  <c r="F499" i="21" s="1"/>
  <c r="G499" i="21" s="1"/>
  <c r="G501" i="21"/>
  <c r="F603" i="21"/>
  <c r="G603" i="21" s="1"/>
  <c r="G604" i="21"/>
  <c r="F622" i="21"/>
  <c r="G622" i="21" s="1"/>
  <c r="G623" i="21"/>
  <c r="F683" i="21"/>
  <c r="G683" i="21" s="1"/>
  <c r="G684" i="21"/>
  <c r="F142" i="21"/>
  <c r="G142" i="21" s="1"/>
  <c r="G143" i="21"/>
  <c r="F240" i="21"/>
  <c r="G240" i="21" s="1"/>
  <c r="G241" i="21"/>
  <c r="F29" i="21"/>
  <c r="G29" i="21" s="1"/>
  <c r="G30" i="21"/>
  <c r="F211" i="21"/>
  <c r="F210" i="21" s="1"/>
  <c r="G210" i="21" s="1"/>
  <c r="G212" i="21"/>
  <c r="F345" i="21"/>
  <c r="F344" i="21" s="1"/>
  <c r="G344" i="21" s="1"/>
  <c r="G346" i="21"/>
  <c r="F418" i="21"/>
  <c r="F417" i="21" s="1"/>
  <c r="G417" i="21" s="1"/>
  <c r="G419" i="21"/>
  <c r="F491" i="21"/>
  <c r="G491" i="21" s="1"/>
  <c r="G492" i="21"/>
  <c r="F503" i="21"/>
  <c r="G503" i="21" s="1"/>
  <c r="G504" i="21"/>
  <c r="F686" i="21"/>
  <c r="G686" i="21" s="1"/>
  <c r="G687" i="21"/>
  <c r="F773" i="21"/>
  <c r="G773" i="21" s="1"/>
  <c r="G774" i="21"/>
  <c r="F88" i="21"/>
  <c r="G88" i="21" s="1"/>
  <c r="G89" i="21"/>
  <c r="F104" i="21"/>
  <c r="G104" i="21" s="1"/>
  <c r="G105" i="21"/>
  <c r="F116" i="21"/>
  <c r="G116" i="21" s="1"/>
  <c r="G117" i="21"/>
  <c r="F133" i="21"/>
  <c r="G134" i="21"/>
  <c r="F146" i="21"/>
  <c r="G146" i="21" s="1"/>
  <c r="G147" i="21"/>
  <c r="F156" i="21"/>
  <c r="G156" i="21" s="1"/>
  <c r="G157" i="21"/>
  <c r="F182" i="21"/>
  <c r="G182" i="21" s="1"/>
  <c r="G183" i="21"/>
  <c r="F247" i="21"/>
  <c r="G247" i="21" s="1"/>
  <c r="G248" i="21"/>
  <c r="F276" i="21"/>
  <c r="G276" i="21" s="1"/>
  <c r="G277" i="21"/>
  <c r="F288" i="21"/>
  <c r="G288" i="21" s="1"/>
  <c r="G289" i="21"/>
  <c r="F303" i="21"/>
  <c r="G303" i="21" s="1"/>
  <c r="G304" i="21"/>
  <c r="F328" i="21"/>
  <c r="G328" i="21" s="1"/>
  <c r="G329" i="21"/>
  <c r="F347" i="21"/>
  <c r="G347" i="21" s="1"/>
  <c r="G348" i="21"/>
  <c r="F387" i="21"/>
  <c r="G387" i="21" s="1"/>
  <c r="G388" i="21"/>
  <c r="F408" i="21"/>
  <c r="G408" i="21" s="1"/>
  <c r="G409" i="21"/>
  <c r="F420" i="21"/>
  <c r="G420" i="21" s="1"/>
  <c r="G421" i="21"/>
  <c r="F435" i="21"/>
  <c r="G436" i="21"/>
  <c r="F462" i="21"/>
  <c r="G463" i="21"/>
  <c r="F526" i="21"/>
  <c r="G527" i="21"/>
  <c r="F563" i="21"/>
  <c r="G564" i="21"/>
  <c r="F572" i="21"/>
  <c r="G572" i="21" s="1"/>
  <c r="G573" i="21"/>
  <c r="F594" i="21"/>
  <c r="G594" i="21" s="1"/>
  <c r="G595" i="21"/>
  <c r="F625" i="21"/>
  <c r="G625" i="21" s="1"/>
  <c r="G626" i="21"/>
  <c r="F556" i="21"/>
  <c r="G557" i="21"/>
  <c r="F667" i="21"/>
  <c r="G667" i="21" s="1"/>
  <c r="G668" i="21"/>
  <c r="F673" i="21"/>
  <c r="G673" i="21" s="1"/>
  <c r="G674" i="21"/>
  <c r="F706" i="21"/>
  <c r="G707" i="21"/>
  <c r="F724" i="21"/>
  <c r="G724" i="21" s="1"/>
  <c r="G725" i="21"/>
  <c r="F97" i="21"/>
  <c r="G97" i="21" s="1"/>
  <c r="G98" i="21"/>
  <c r="F110" i="21"/>
  <c r="G110" i="21" s="1"/>
  <c r="G111" i="21"/>
  <c r="F123" i="21"/>
  <c r="G123" i="21" s="1"/>
  <c r="G124" i="21"/>
  <c r="F219" i="21"/>
  <c r="G220" i="21"/>
  <c r="F282" i="21"/>
  <c r="G282" i="21" s="1"/>
  <c r="G283" i="21"/>
  <c r="F300" i="21"/>
  <c r="G300" i="21" s="1"/>
  <c r="G301" i="21"/>
  <c r="F321" i="21"/>
  <c r="G321" i="21" s="1"/>
  <c r="G322" i="21"/>
  <c r="F334" i="21"/>
  <c r="G334" i="21" s="1"/>
  <c r="G335" i="21"/>
  <c r="F363" i="21"/>
  <c r="G363" i="21" s="1"/>
  <c r="G364" i="21"/>
  <c r="F396" i="21"/>
  <c r="G396" i="21" s="1"/>
  <c r="G397" i="21"/>
  <c r="F402" i="21"/>
  <c r="G402" i="21" s="1"/>
  <c r="G403" i="21"/>
  <c r="F414" i="21"/>
  <c r="G414" i="21" s="1"/>
  <c r="G415" i="21"/>
  <c r="F428" i="21"/>
  <c r="G428" i="21" s="1"/>
  <c r="G429" i="21"/>
  <c r="F441" i="21"/>
  <c r="G441" i="21" s="1"/>
  <c r="G442" i="21"/>
  <c r="F514" i="21"/>
  <c r="G514" i="21" s="1"/>
  <c r="G515" i="21"/>
  <c r="F536" i="21"/>
  <c r="G536" i="21" s="1"/>
  <c r="G537" i="21"/>
  <c r="F569" i="21"/>
  <c r="G569" i="21" s="1"/>
  <c r="G570" i="21"/>
  <c r="F582" i="21"/>
  <c r="G583" i="21"/>
  <c r="F644" i="21"/>
  <c r="G644" i="21" s="1"/>
  <c r="G645" i="21"/>
  <c r="F736" i="21"/>
  <c r="G737" i="21"/>
  <c r="F783" i="21"/>
  <c r="G784" i="21"/>
  <c r="F101" i="21"/>
  <c r="G101" i="21" s="1"/>
  <c r="G102" i="21"/>
  <c r="F113" i="21"/>
  <c r="G113" i="21" s="1"/>
  <c r="G114" i="21"/>
  <c r="F128" i="21"/>
  <c r="G129" i="21"/>
  <c r="F234" i="21"/>
  <c r="G234" i="21" s="1"/>
  <c r="G235" i="21"/>
  <c r="F242" i="21"/>
  <c r="G242" i="21" s="1"/>
  <c r="G243" i="21"/>
  <c r="F271" i="21"/>
  <c r="G271" i="21" s="1"/>
  <c r="G272" i="21"/>
  <c r="F285" i="21"/>
  <c r="G285" i="21" s="1"/>
  <c r="G286" i="21"/>
  <c r="F297" i="21"/>
  <c r="G297" i="21" s="1"/>
  <c r="G298" i="21"/>
  <c r="F324" i="21"/>
  <c r="G324" i="21" s="1"/>
  <c r="G325" i="21"/>
  <c r="F373" i="21"/>
  <c r="G373" i="21" s="1"/>
  <c r="G376" i="21"/>
  <c r="F405" i="21"/>
  <c r="G405" i="21" s="1"/>
  <c r="G406" i="21"/>
  <c r="F431" i="21"/>
  <c r="G431" i="21" s="1"/>
  <c r="G432" i="21"/>
  <c r="F457" i="21"/>
  <c r="G458" i="21"/>
  <c r="F518" i="21"/>
  <c r="G518" i="21" s="1"/>
  <c r="G519" i="21"/>
  <c r="F549" i="21"/>
  <c r="G550" i="21"/>
  <c r="F628" i="21"/>
  <c r="G628" i="21" s="1"/>
  <c r="G629" i="21"/>
  <c r="F648" i="21"/>
  <c r="G649" i="21"/>
  <c r="F716" i="21"/>
  <c r="G716" i="21" s="1"/>
  <c r="G717" i="21"/>
  <c r="F743" i="21"/>
  <c r="G744" i="21"/>
  <c r="F37" i="21"/>
  <c r="G38" i="21"/>
  <c r="F94" i="21"/>
  <c r="G94" i="21" s="1"/>
  <c r="G95" i="21"/>
  <c r="F107" i="21"/>
  <c r="G107" i="21" s="1"/>
  <c r="G108" i="21"/>
  <c r="F120" i="21"/>
  <c r="G120" i="21" s="1"/>
  <c r="G121" i="21"/>
  <c r="F159" i="21"/>
  <c r="G159" i="21" s="1"/>
  <c r="G160" i="21"/>
  <c r="F279" i="21"/>
  <c r="G279" i="21" s="1"/>
  <c r="G280" i="21"/>
  <c r="F293" i="21"/>
  <c r="G294" i="21"/>
  <c r="F318" i="21"/>
  <c r="G318" i="21" s="1"/>
  <c r="G319" i="21"/>
  <c r="F331" i="21"/>
  <c r="G331" i="21" s="1"/>
  <c r="G332" i="21"/>
  <c r="F351" i="21"/>
  <c r="G351" i="21" s="1"/>
  <c r="G352" i="21"/>
  <c r="F378" i="21"/>
  <c r="G378" i="21" s="1"/>
  <c r="G379" i="21"/>
  <c r="F391" i="21"/>
  <c r="G392" i="21"/>
  <c r="F399" i="21"/>
  <c r="G399" i="21" s="1"/>
  <c r="G400" i="21"/>
  <c r="F411" i="21"/>
  <c r="G411" i="21" s="1"/>
  <c r="G412" i="21"/>
  <c r="F425" i="21"/>
  <c r="G425" i="21" s="1"/>
  <c r="G426" i="21"/>
  <c r="F438" i="21"/>
  <c r="G438" i="21" s="1"/>
  <c r="G439" i="21"/>
  <c r="F532" i="21"/>
  <c r="G532" i="21" s="1"/>
  <c r="G533" i="21"/>
  <c r="F577" i="21"/>
  <c r="G578" i="21"/>
  <c r="F670" i="21"/>
  <c r="G670" i="21" s="1"/>
  <c r="G671" i="21"/>
  <c r="F676" i="21"/>
  <c r="G676" i="21" s="1"/>
  <c r="G677" i="21"/>
  <c r="F691" i="21"/>
  <c r="G691" i="21" s="1"/>
  <c r="G692" i="21"/>
  <c r="F711" i="21"/>
  <c r="G712" i="21"/>
  <c r="F727" i="21"/>
  <c r="G727" i="21" s="1"/>
  <c r="G728" i="21"/>
  <c r="F16" i="21"/>
  <c r="G17" i="21"/>
  <c r="F694" i="21"/>
  <c r="F610" i="21"/>
  <c r="G610" i="21" s="1"/>
  <c r="F607" i="21"/>
  <c r="G607" i="21" s="1"/>
  <c r="F213" i="21"/>
  <c r="F252" i="21"/>
  <c r="G252" i="21" s="1"/>
  <c r="F257" i="21"/>
  <c r="G257" i="21" s="1"/>
  <c r="F163" i="21"/>
  <c r="F25" i="21" l="1"/>
  <c r="G25" i="21" s="1"/>
  <c r="G619" i="21"/>
  <c r="F758" i="21"/>
  <c r="G758" i="21" s="1"/>
  <c r="F502" i="21"/>
  <c r="G502" i="21" s="1"/>
  <c r="G418" i="21"/>
  <c r="G211" i="21"/>
  <c r="F621" i="21"/>
  <c r="G621" i="21" s="1"/>
  <c r="F264" i="21"/>
  <c r="F263" i="21" s="1"/>
  <c r="F484" i="21"/>
  <c r="F480" i="21" s="1"/>
  <c r="F472" i="21"/>
  <c r="F468" i="21" s="1"/>
  <c r="F239" i="21"/>
  <c r="G239" i="21" s="1"/>
  <c r="F186" i="21"/>
  <c r="G186" i="21" s="1"/>
  <c r="F772" i="21"/>
  <c r="F771" i="21" s="1"/>
  <c r="F682" i="21"/>
  <c r="G682" i="21" s="1"/>
  <c r="F490" i="21"/>
  <c r="F489" i="21" s="1"/>
  <c r="G489" i="21" s="1"/>
  <c r="G642" i="21"/>
  <c r="G756" i="21"/>
  <c r="F139" i="21"/>
  <c r="G139" i="21" s="1"/>
  <c r="F382" i="21"/>
  <c r="F381" i="21" s="1"/>
  <c r="G381" i="21" s="1"/>
  <c r="F200" i="21"/>
  <c r="F199" i="21" s="1"/>
  <c r="G199" i="21" s="1"/>
  <c r="G470" i="21"/>
  <c r="G345" i="21"/>
  <c r="G500" i="21"/>
  <c r="G482" i="21"/>
  <c r="F28" i="21"/>
  <c r="G28" i="21" s="1"/>
  <c r="F149" i="21"/>
  <c r="G149" i="21" s="1"/>
  <c r="F600" i="21"/>
  <c r="F599" i="21" s="1"/>
  <c r="G599" i="21" s="1"/>
  <c r="F685" i="21"/>
  <c r="F513" i="21"/>
  <c r="F512" i="21" s="1"/>
  <c r="F589" i="21"/>
  <c r="G589" i="21" s="1"/>
  <c r="F720" i="21"/>
  <c r="G720" i="21" s="1"/>
  <c r="F337" i="21"/>
  <c r="G337" i="21" s="1"/>
  <c r="F93" i="21"/>
  <c r="G93" i="21" s="1"/>
  <c r="F531" i="21"/>
  <c r="G531" i="21" s="1"/>
  <c r="F350" i="21"/>
  <c r="G350" i="21" s="1"/>
  <c r="F424" i="21"/>
  <c r="G424" i="21" s="1"/>
  <c r="F372" i="21"/>
  <c r="G372" i="21" s="1"/>
  <c r="F715" i="21"/>
  <c r="G715" i="21" s="1"/>
  <c r="F317" i="21"/>
  <c r="G317" i="21" s="1"/>
  <c r="F100" i="21"/>
  <c r="G100" i="21" s="1"/>
  <c r="F275" i="21"/>
  <c r="G275" i="21" s="1"/>
  <c r="F568" i="21"/>
  <c r="F567" i="21" s="1"/>
  <c r="F640" i="21"/>
  <c r="G640" i="21" s="1"/>
  <c r="F296" i="21"/>
  <c r="G296" i="21" s="1"/>
  <c r="F690" i="21"/>
  <c r="G690" i="21" s="1"/>
  <c r="G694" i="21"/>
  <c r="F710" i="21"/>
  <c r="G710" i="21" s="1"/>
  <c r="G711" i="21"/>
  <c r="F162" i="21"/>
  <c r="G162" i="21" s="1"/>
  <c r="G163" i="21"/>
  <c r="F209" i="21"/>
  <c r="G213" i="21"/>
  <c r="F395" i="21"/>
  <c r="G395" i="21" s="1"/>
  <c r="F327" i="21"/>
  <c r="G327" i="21" s="1"/>
  <c r="F119" i="21"/>
  <c r="G119" i="21" s="1"/>
  <c r="F624" i="21"/>
  <c r="G624" i="21" s="1"/>
  <c r="F576" i="21"/>
  <c r="G577" i="21"/>
  <c r="F292" i="21"/>
  <c r="G293" i="21"/>
  <c r="F742" i="21"/>
  <c r="G743" i="21"/>
  <c r="F548" i="21"/>
  <c r="G548" i="21" s="1"/>
  <c r="G549" i="21"/>
  <c r="F453" i="21"/>
  <c r="G453" i="21" s="1"/>
  <c r="G457" i="21"/>
  <c r="F127" i="21"/>
  <c r="G128" i="21"/>
  <c r="F735" i="21"/>
  <c r="G736" i="21"/>
  <c r="F581" i="21"/>
  <c r="G582" i="21"/>
  <c r="F218" i="21"/>
  <c r="G218" i="21" s="1"/>
  <c r="G219" i="21"/>
  <c r="F555" i="21"/>
  <c r="G556" i="21"/>
  <c r="F562" i="21"/>
  <c r="G563" i="21"/>
  <c r="F434" i="21"/>
  <c r="G434" i="21" s="1"/>
  <c r="G435" i="21"/>
  <c r="F132" i="21"/>
  <c r="G133" i="21"/>
  <c r="F666" i="21"/>
  <c r="G666" i="21" s="1"/>
  <c r="F390" i="21"/>
  <c r="G390" i="21" s="1"/>
  <c r="G391" i="21"/>
  <c r="F36" i="21"/>
  <c r="G37" i="21"/>
  <c r="F647" i="21"/>
  <c r="G647" i="21" s="1"/>
  <c r="G648" i="21"/>
  <c r="F782" i="21"/>
  <c r="G783" i="21"/>
  <c r="F754" i="21"/>
  <c r="G754" i="21" s="1"/>
  <c r="G755" i="21"/>
  <c r="F705" i="21"/>
  <c r="G706" i="21"/>
  <c r="F525" i="21"/>
  <c r="G525" i="21" s="1"/>
  <c r="G526" i="21"/>
  <c r="F461" i="21"/>
  <c r="G462" i="21"/>
  <c r="F15" i="21"/>
  <c r="G16" i="21"/>
  <c r="F681" i="21" l="1"/>
  <c r="F680" i="21" s="1"/>
  <c r="F24" i="21"/>
  <c r="F23" i="21" s="1"/>
  <c r="F617" i="21"/>
  <c r="G617" i="21" s="1"/>
  <c r="F498" i="21"/>
  <c r="G498" i="21" s="1"/>
  <c r="F185" i="21"/>
  <c r="F181" i="21" s="1"/>
  <c r="F719" i="21"/>
  <c r="G719" i="21" s="1"/>
  <c r="G264" i="21"/>
  <c r="G484" i="21"/>
  <c r="F233" i="21"/>
  <c r="G233" i="21" s="1"/>
  <c r="G772" i="21"/>
  <c r="G600" i="21"/>
  <c r="G472" i="21"/>
  <c r="G382" i="21"/>
  <c r="G685" i="21"/>
  <c r="G200" i="21"/>
  <c r="G490" i="21"/>
  <c r="F138" i="21"/>
  <c r="G138" i="21" s="1"/>
  <c r="G513" i="21"/>
  <c r="G568" i="21"/>
  <c r="F714" i="21"/>
  <c r="G714" i="21" s="1"/>
  <c r="F371" i="21"/>
  <c r="F92" i="21"/>
  <c r="G92" i="21" s="1"/>
  <c r="F598" i="21"/>
  <c r="G598" i="21" s="1"/>
  <c r="F423" i="21"/>
  <c r="G423" i="21" s="1"/>
  <c r="F530" i="21"/>
  <c r="F529" i="21" s="1"/>
  <c r="G529" i="21" s="1"/>
  <c r="F460" i="21"/>
  <c r="G461" i="21"/>
  <c r="F781" i="21"/>
  <c r="G781" i="21" s="1"/>
  <c r="G782" i="21"/>
  <c r="F316" i="21"/>
  <c r="F262" i="21"/>
  <c r="G262" i="21" s="1"/>
  <c r="G263" i="21"/>
  <c r="F554" i="21"/>
  <c r="G555" i="21"/>
  <c r="F734" i="21"/>
  <c r="G735" i="21"/>
  <c r="F741" i="21"/>
  <c r="G742" i="21"/>
  <c r="F575" i="21"/>
  <c r="G575" i="21" s="1"/>
  <c r="G576" i="21"/>
  <c r="F753" i="21"/>
  <c r="F479" i="21"/>
  <c r="G480" i="21"/>
  <c r="F770" i="21"/>
  <c r="G771" i="21"/>
  <c r="F639" i="21"/>
  <c r="G567" i="21"/>
  <c r="F704" i="21"/>
  <c r="G705" i="21"/>
  <c r="F35" i="21"/>
  <c r="G36" i="21"/>
  <c r="F131" i="21"/>
  <c r="G131" i="21" s="1"/>
  <c r="G132" i="21"/>
  <c r="F561" i="21"/>
  <c r="G562" i="21"/>
  <c r="F580" i="21"/>
  <c r="G580" i="21" s="1"/>
  <c r="G581" i="21"/>
  <c r="F126" i="21"/>
  <c r="G126" i="21" s="1"/>
  <c r="G127" i="21"/>
  <c r="G292" i="21"/>
  <c r="F291" i="21"/>
  <c r="F467" i="21"/>
  <c r="G468" i="21"/>
  <c r="F511" i="21"/>
  <c r="G511" i="21" s="1"/>
  <c r="G512" i="21"/>
  <c r="F208" i="21"/>
  <c r="G209" i="21"/>
  <c r="F14" i="21"/>
  <c r="G15" i="21"/>
  <c r="G681" i="21" l="1"/>
  <c r="G24" i="21"/>
  <c r="F616" i="21"/>
  <c r="G616" i="21" s="1"/>
  <c r="F497" i="21"/>
  <c r="G497" i="21" s="1"/>
  <c r="G185" i="21"/>
  <c r="F137" i="21"/>
  <c r="G137" i="21" s="1"/>
  <c r="F709" i="21"/>
  <c r="G709" i="21" s="1"/>
  <c r="G530" i="21"/>
  <c r="G371" i="21"/>
  <c r="F466" i="21"/>
  <c r="G466" i="21" s="1"/>
  <c r="G467" i="21"/>
  <c r="G23" i="21"/>
  <c r="F22" i="21"/>
  <c r="G22" i="21" s="1"/>
  <c r="F679" i="21"/>
  <c r="G680" i="21"/>
  <c r="F34" i="21"/>
  <c r="G34" i="21" s="1"/>
  <c r="G35" i="21"/>
  <c r="F366" i="21"/>
  <c r="G366" i="21" s="1"/>
  <c r="F752" i="21"/>
  <c r="G753" i="21"/>
  <c r="F740" i="21"/>
  <c r="G740" i="21" s="1"/>
  <c r="G741" i="21"/>
  <c r="G554" i="21"/>
  <c r="G291" i="21"/>
  <c r="F274" i="21"/>
  <c r="G274" i="21" s="1"/>
  <c r="F769" i="21"/>
  <c r="G770" i="21"/>
  <c r="G460" i="21"/>
  <c r="F394" i="21"/>
  <c r="G394" i="21" s="1"/>
  <c r="F207" i="21"/>
  <c r="G207" i="21" s="1"/>
  <c r="G208" i="21"/>
  <c r="F560" i="21"/>
  <c r="G560" i="21" s="1"/>
  <c r="G561" i="21"/>
  <c r="F180" i="21"/>
  <c r="G181" i="21"/>
  <c r="F703" i="21"/>
  <c r="G704" i="21"/>
  <c r="F566" i="21"/>
  <c r="G566" i="21" s="1"/>
  <c r="F733" i="21"/>
  <c r="G733" i="21" s="1"/>
  <c r="G734" i="21"/>
  <c r="F638" i="21"/>
  <c r="G639" i="21"/>
  <c r="F478" i="21"/>
  <c r="G479" i="21"/>
  <c r="F315" i="21"/>
  <c r="G316" i="21"/>
  <c r="F228" i="21"/>
  <c r="F13" i="21"/>
  <c r="G14" i="21"/>
  <c r="F615" i="21" l="1"/>
  <c r="G615" i="21" s="1"/>
  <c r="F136" i="21"/>
  <c r="G136" i="21" s="1"/>
  <c r="F553" i="21"/>
  <c r="G553" i="21" s="1"/>
  <c r="F768" i="21"/>
  <c r="G768" i="21" s="1"/>
  <c r="G769" i="21"/>
  <c r="G315" i="21"/>
  <c r="F637" i="21"/>
  <c r="G637" i="21" s="1"/>
  <c r="G638" i="21"/>
  <c r="G703" i="21"/>
  <c r="F702" i="21"/>
  <c r="G702" i="21" s="1"/>
  <c r="G478" i="21"/>
  <c r="F477" i="21"/>
  <c r="G679" i="21"/>
  <c r="F665" i="21"/>
  <c r="F179" i="21"/>
  <c r="G180" i="21"/>
  <c r="F227" i="21"/>
  <c r="G228" i="21"/>
  <c r="F751" i="21"/>
  <c r="G752" i="21"/>
  <c r="F12" i="21"/>
  <c r="G12" i="21" s="1"/>
  <c r="G13" i="21"/>
  <c r="G227" i="21" l="1"/>
  <c r="F223" i="21"/>
  <c r="F588" i="21"/>
  <c r="F587" i="21" s="1"/>
  <c r="F91" i="21"/>
  <c r="G91" i="21" s="1"/>
  <c r="F739" i="21"/>
  <c r="G739" i="21" s="1"/>
  <c r="G751" i="21"/>
  <c r="F178" i="21"/>
  <c r="G178" i="21" s="1"/>
  <c r="G179" i="21"/>
  <c r="F465" i="21"/>
  <c r="G477" i="21"/>
  <c r="F657" i="21"/>
  <c r="G665" i="21"/>
  <c r="F222" i="21" l="1"/>
  <c r="G222" i="21" s="1"/>
  <c r="G223" i="21"/>
  <c r="G588" i="21"/>
  <c r="F510" i="21"/>
  <c r="G510" i="21" s="1"/>
  <c r="G587" i="21"/>
  <c r="G465" i="21"/>
  <c r="F314" i="21"/>
  <c r="G314" i="21" s="1"/>
  <c r="F636" i="21"/>
  <c r="G636" i="21" s="1"/>
  <c r="G657" i="21"/>
  <c r="C12" i="14" l="1"/>
  <c r="F43" i="21"/>
  <c r="F46" i="21"/>
  <c r="G46" i="21" s="1"/>
  <c r="F48" i="21"/>
  <c r="G48" i="21" s="1"/>
  <c r="F57" i="21"/>
  <c r="F63" i="21"/>
  <c r="F66" i="21"/>
  <c r="G66" i="21" s="1"/>
  <c r="F68" i="21"/>
  <c r="G68" i="21" s="1"/>
  <c r="F73" i="21"/>
  <c r="F78" i="21"/>
  <c r="G78" i="21" s="1"/>
  <c r="F80" i="21"/>
  <c r="G80" i="21" s="1"/>
  <c r="F87" i="21"/>
  <c r="F790" i="21"/>
  <c r="C14" i="14"/>
  <c r="C19" i="14"/>
  <c r="C21" i="14"/>
  <c r="C17" i="14"/>
  <c r="C28" i="14"/>
  <c r="C27" i="14" s="1"/>
  <c r="C26" i="14" s="1"/>
  <c r="C24" i="14"/>
  <c r="C23" i="14" s="1"/>
  <c r="C22" i="14" s="1"/>
  <c r="C11" i="14" l="1"/>
  <c r="F86" i="21"/>
  <c r="G87" i="21"/>
  <c r="F62" i="21"/>
  <c r="G62" i="21" s="1"/>
  <c r="G63" i="21"/>
  <c r="F42" i="21"/>
  <c r="G42" i="21" s="1"/>
  <c r="G43" i="21"/>
  <c r="F789" i="21"/>
  <c r="G790" i="21"/>
  <c r="F72" i="21"/>
  <c r="G72" i="21" s="1"/>
  <c r="G73" i="21"/>
  <c r="F56" i="21"/>
  <c r="G57" i="21"/>
  <c r="C16" i="14"/>
  <c r="F45" i="21"/>
  <c r="F198" i="21"/>
  <c r="F77" i="21"/>
  <c r="F65" i="21"/>
  <c r="F71" i="21" l="1"/>
  <c r="G77" i="21"/>
  <c r="F55" i="21"/>
  <c r="G56" i="21"/>
  <c r="F193" i="21"/>
  <c r="G193" i="21" s="1"/>
  <c r="G198" i="21"/>
  <c r="F61" i="21"/>
  <c r="G65" i="21"/>
  <c r="F788" i="21"/>
  <c r="G789" i="21"/>
  <c r="F41" i="21"/>
  <c r="G45" i="21"/>
  <c r="F85" i="21"/>
  <c r="G85" i="21" s="1"/>
  <c r="G86" i="21"/>
  <c r="F40" i="21" l="1"/>
  <c r="G41" i="21"/>
  <c r="F54" i="21"/>
  <c r="G55" i="21"/>
  <c r="F787" i="21"/>
  <c r="G788" i="21"/>
  <c r="F70" i="21"/>
  <c r="G70" i="21" s="1"/>
  <c r="G71" i="21"/>
  <c r="F60" i="21"/>
  <c r="G61" i="21"/>
  <c r="F53" i="21" l="1"/>
  <c r="G53" i="21" s="1"/>
  <c r="G54" i="21"/>
  <c r="G60" i="21"/>
  <c r="F59" i="21"/>
  <c r="F786" i="21"/>
  <c r="G786" i="21" s="1"/>
  <c r="G787" i="21"/>
  <c r="F33" i="21"/>
  <c r="G33" i="21" s="1"/>
  <c r="G40" i="21"/>
  <c r="F11" i="21" l="1"/>
  <c r="G59" i="21"/>
  <c r="G11" i="21" l="1"/>
  <c r="F10" i="21"/>
  <c r="G10" i="21" s="1"/>
</calcChain>
</file>

<file path=xl/sharedStrings.xml><?xml version="1.0" encoding="utf-8"?>
<sst xmlns="http://schemas.openxmlformats.org/spreadsheetml/2006/main" count="12864" uniqueCount="969">
  <si>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</si>
  <si>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</si>
  <si>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</si>
  <si>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</si>
  <si>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</si>
  <si>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</si>
  <si>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</si>
  <si>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</si>
  <si>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</si>
  <si>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</si>
  <si>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</si>
  <si>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</si>
  <si>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</si>
  <si>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</si>
  <si>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</si>
  <si>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</si>
  <si>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</si>
  <si>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</si>
  <si>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</si>
  <si>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</si>
  <si>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</si>
  <si>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</si>
  <si>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</si>
  <si>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</si>
  <si>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</si>
  <si>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</si>
  <si>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</si>
  <si>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</si>
  <si>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</si>
  <si>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</si>
  <si>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</si>
  <si>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</si>
  <si>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</si>
  <si>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</si>
  <si>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</si>
  <si>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</si>
  <si>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</si>
  <si>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</si>
  <si>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</si>
  <si>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</si>
  <si>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01 3 00 00000</t>
  </si>
  <si>
    <t>Мероприятие "Приобретение антивирусного программного обеспечения"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</si>
  <si>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</si>
  <si>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</si>
  <si>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</si>
  <si>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</si>
  <si>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Расходы на содержание ВМКУ "ТИЦ - Владикавказ - ТВ"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</si>
  <si>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</si>
  <si>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</si>
  <si>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</si>
  <si>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Расходы на учреждение по обеспечению хозяйственного обслуживания ВМКУ ТХО АМС г. Владикавказа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</si>
  <si>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</si>
  <si>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</si>
  <si>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</si>
  <si>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</si>
  <si>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</si>
  <si>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</si>
  <si>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99 9 00 00104</t>
  </si>
  <si>
    <t>Подпрограмма "Поддержка и совершенствование информационно-коммуникационной инфраструктуры"</t>
  </si>
  <si>
    <t>Подпрограмма "Капитальный ремонт  многоквартирных домов в г.Владикавказе"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</si>
  <si>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</si>
  <si>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</si>
  <si>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</si>
  <si>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</si>
  <si>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Подпрограмма "Реализация мероприятий в области физической культуре и спорта, пропаганда здорового образа жизни"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</si>
  <si>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</si>
  <si>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</si>
  <si>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</si>
  <si>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</si>
  <si>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</si>
  <si>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</si>
  <si>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</si>
  <si>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</si>
  <si>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</si>
  <si>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</si>
  <si>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</si>
  <si>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</si>
  <si>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</si>
  <si>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</si>
  <si>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</si>
  <si>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</si>
  <si>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</si>
  <si>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</si>
  <si>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</si>
  <si>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</si>
  <si>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</si>
  <si>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</si>
  <si>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</si>
  <si>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</si>
  <si>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</si>
  <si>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</si>
  <si>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</si>
  <si>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</si>
  <si>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</si>
  <si>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</si>
  <si>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</si>
  <si>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</si>
  <si>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</si>
  <si>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</si>
  <si>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</si>
  <si>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 xml:space="preserve">Обеспечение функционирования Финансового управления АМС  г.Владикавказ </t>
  </si>
  <si>
    <t>Расходы на выплаты по оплате труда работников Финансового управления АМС  г.Владикавказ</t>
  </si>
  <si>
    <t>Расходы на обеспечение функций Финансового управления АМС  г.Владикавказ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</si>
  <si>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</si>
  <si>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</si>
  <si>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</si>
  <si>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</si>
  <si>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</si>
  <si>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</si>
  <si>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Мероприятие "Проведение праздничных  мероприятий"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</si>
  <si>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</si>
  <si>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</si>
  <si>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</si>
  <si>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</si>
  <si>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</si>
  <si>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</si>
  <si>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</si>
  <si>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</si>
  <si>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</si>
  <si>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</si>
  <si>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</si>
  <si>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</si>
  <si>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</si>
  <si>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</si>
  <si>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</si>
  <si>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Подпрограмма "Энергосбережение и повышение энергетической эффективности на территории города Владикавказа"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</si>
  <si>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</si>
  <si>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</si>
  <si>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содержание ВМБУ "Центр цифрового развития и информационных технологий"</t>
  </si>
  <si>
    <t>01 1 02 00107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</si>
  <si>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</si>
  <si>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Выкуп нежилых помещений в аварийных домах</t>
  </si>
  <si>
    <t>99 9 00 00105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</si>
  <si>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</si>
  <si>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</si>
  <si>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</si>
  <si>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</si>
  <si>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</si>
  <si>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</si>
  <si>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Субсидии некоммерческим организациям (за исключением государственных (муниципальных) учреждений)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</si>
  <si>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</si>
  <si>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</si>
  <si>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</si>
  <si>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</si>
  <si>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</si>
  <si>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</si>
  <si>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</si>
  <si>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</si>
  <si>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</si>
  <si>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</si>
  <si>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</si>
  <si>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</si>
  <si>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Подпрограмма "Техническое оснащение коммунальной инфраструктуры г.Владикавказ"</t>
  </si>
  <si>
    <t>830</t>
  </si>
  <si>
    <t>Уплата прочих налогов, сборов и иных платежей</t>
  </si>
  <si>
    <t>Публичные нормативные социальные выплаты гражданам</t>
  </si>
  <si>
    <t>Обеспечение функционирования Главы  муниципального образования</t>
  </si>
  <si>
    <t>Взносы за капитальный ремонт квартир и домовладений, находящихся в муниципальной собственности</t>
  </si>
  <si>
    <t xml:space="preserve">СУММА                         </t>
  </si>
  <si>
    <t>Закупка товаров, работ и услугдля государственных (муниципальных) нужд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</si>
  <si>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</si>
  <si>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</si>
  <si>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</si>
  <si>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</si>
  <si>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</si>
  <si>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</si>
  <si>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</si>
  <si>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</si>
  <si>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</si>
  <si>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</si>
  <si>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</si>
  <si>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</si>
  <si>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</si>
  <si>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99 9 0Р 00000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</si>
  <si>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</si>
  <si>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</si>
  <si>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</si>
  <si>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</si>
  <si>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</si>
  <si>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</si>
  <si>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</si>
  <si>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</si>
  <si>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</si>
  <si>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</si>
  <si>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Закупка товаров, работ, услуг для государственных (муниципальных) нужд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</si>
  <si>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</si>
  <si>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</si>
  <si>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</si>
  <si>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</si>
  <si>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</si>
  <si>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</si>
  <si>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</si>
  <si>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</si>
  <si>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</si>
  <si>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</si>
  <si>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</si>
  <si>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</si>
  <si>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</si>
  <si>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</si>
  <si>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</si>
  <si>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</si>
  <si>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</si>
  <si>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</si>
  <si>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</si>
  <si>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</si>
  <si>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</si>
  <si>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</si>
  <si>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</si>
  <si>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</si>
  <si>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</si>
  <si>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</si>
  <si>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</si>
  <si>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</si>
  <si>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</si>
  <si>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</si>
  <si>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</si>
  <si>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</si>
  <si>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</si>
  <si>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</si>
  <si>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</si>
  <si>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</si>
  <si>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</si>
  <si>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</si>
  <si>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</si>
  <si>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</si>
  <si>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</si>
  <si>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</si>
  <si>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</si>
  <si>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</si>
  <si>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</si>
  <si>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</si>
  <si>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</si>
  <si>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</si>
  <si>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</si>
  <si>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</si>
  <si>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</si>
  <si>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</si>
  <si>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</si>
  <si>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</si>
  <si>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</si>
  <si>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</si>
  <si>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</si>
  <si>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</si>
  <si>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"Уличное освещение"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</si>
  <si>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</si>
  <si>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</si>
  <si>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</si>
  <si>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</si>
  <si>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Мероприятие "Приобретение лицензионного программного обеспечения"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</si>
  <si>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</si>
  <si>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</si>
  <si>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</si>
  <si>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</si>
  <si>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</si>
  <si>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</si>
  <si>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</si>
  <si>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</si>
  <si>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</si>
  <si>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</si>
  <si>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</si>
  <si>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</si>
  <si>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</si>
  <si>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</si>
  <si>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</si>
  <si>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</si>
  <si>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</si>
  <si>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</si>
  <si>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</si>
  <si>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</si>
  <si>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</si>
  <si>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</si>
  <si>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</si>
  <si>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</si>
  <si>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</si>
  <si>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</si>
  <si>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</si>
  <si>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</si>
  <si>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</si>
  <si>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Наименование дохода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</si>
  <si>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</si>
  <si>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</si>
  <si>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</si>
  <si>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</si>
  <si>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</si>
  <si>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</si>
  <si>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</si>
  <si>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</si>
  <si>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</si>
  <si>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</si>
  <si>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</si>
  <si>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Муниципальная программа "Профилактика экстремизма и терроризма в городе Владикавказе на 2018-2020 годы"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</si>
  <si>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</si>
  <si>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</si>
  <si>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</si>
  <si>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Закупка товаров, работ и услуг для государственных (муниципальных) нужд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</si>
  <si>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</si>
  <si>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</si>
  <si>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</si>
  <si>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</si>
  <si>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</si>
  <si>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</si>
  <si>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</si>
  <si>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</si>
  <si>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</si>
  <si>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</si>
  <si>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</si>
  <si>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</si>
  <si>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Изменения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</si>
  <si>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</si>
  <si>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</si>
  <si>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</si>
  <si>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</si>
  <si>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</si>
  <si>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</si>
  <si>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</si>
  <si>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</si>
  <si>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</si>
  <si>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</si>
  <si>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</si>
  <si>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</si>
  <si>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</si>
  <si>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99 9 00 00103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</si>
  <si>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</si>
  <si>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</si>
  <si>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</si>
  <si>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</si>
  <si>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</si>
  <si>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</si>
  <si>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</si>
  <si>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</si>
  <si>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</si>
  <si>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</si>
  <si>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</si>
  <si>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</si>
  <si>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</si>
  <si>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</si>
  <si>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</si>
  <si>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99 9 00 00134</t>
  </si>
  <si>
    <t>99 9 00 00135</t>
  </si>
  <si>
    <t>99 9 00 00137</t>
  </si>
  <si>
    <t>99 9 00 00138</t>
  </si>
  <si>
    <t>Мероприятие по разработке межевых планов территорий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</si>
  <si>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</si>
  <si>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</si>
  <si>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</si>
  <si>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</si>
  <si>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</si>
  <si>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</si>
  <si>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</si>
  <si>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,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</si>
  <si>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</si>
  <si>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</si>
  <si>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</si>
  <si>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</si>
  <si>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</si>
  <si>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</si>
  <si>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</si>
  <si>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</si>
  <si>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</si>
  <si>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</si>
  <si>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</si>
  <si>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Поддержка коммунального хозяйства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</si>
  <si>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</si>
  <si>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</si>
  <si>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</si>
  <si>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</si>
  <si>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</si>
  <si>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Молодёжная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</si>
  <si>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</si>
  <si>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</si>
  <si>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</si>
  <si>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</si>
  <si>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</si>
  <si>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</si>
  <si>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</si>
  <si>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</si>
  <si>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</si>
  <si>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</si>
  <si>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</si>
  <si>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</si>
  <si>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</si>
  <si>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</si>
  <si>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</si>
  <si>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</si>
  <si>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</si>
  <si>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</si>
  <si>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</si>
  <si>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</si>
  <si>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</si>
  <si>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</si>
  <si>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</si>
  <si>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</si>
  <si>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</si>
  <si>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</si>
  <si>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</si>
  <si>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</si>
  <si>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 xml:space="preserve">Управление культуры  администрации местного самоуправления г.Владикавказа </t>
  </si>
  <si>
    <t>730</t>
  </si>
  <si>
    <t>Распределение бюджетных ассигнований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</si>
  <si>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Обеспечение функционирования Собрания представителей г.Владикавказ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</si>
  <si>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</si>
  <si>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 xml:space="preserve">Обеспечение функционирования органов местного самоуправления </t>
  </si>
  <si>
    <t>Обеспечение функционирования Контрольно-счетной палаты  муниципального образования г.Владикавказ (Дзауджикау)</t>
  </si>
  <si>
    <t>Расходы на выплаты по оплате труда работников Контрольно-счетной палаты муниципального образования г.Владикавказ (Дзауджикау)</t>
  </si>
  <si>
    <t>Непрограммные расходы органов местного самоуправления г.Владикавказ</t>
  </si>
  <si>
    <t xml:space="preserve">Занятость школьников в период летних каникул 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</si>
  <si>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</si>
  <si>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</si>
  <si>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</si>
  <si>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</si>
  <si>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</si>
  <si>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Другие общегосударственные  вопросы</t>
  </si>
  <si>
    <t>Обслуживание государственного внутреннего и муниципального долга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</si>
  <si>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</si>
  <si>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</si>
  <si>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</si>
  <si>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</si>
  <si>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</si>
  <si>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</si>
  <si>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</si>
  <si>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</si>
  <si>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870</t>
  </si>
  <si>
    <t>Целевая      статья     расходов</t>
  </si>
  <si>
    <t>ВСЕГО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</si>
  <si>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</si>
  <si>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</si>
  <si>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</si>
  <si>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</si>
  <si>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</si>
  <si>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</si>
  <si>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</si>
  <si>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</si>
  <si>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</si>
  <si>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</si>
  <si>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</si>
  <si>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</si>
  <si>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</si>
  <si>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Мероприятие "Издание и приобретение книг и иной печатной продукции, визуальной аудио продукции о г.Владикавказе"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</si>
  <si>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</si>
  <si>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</si>
  <si>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</si>
  <si>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</si>
  <si>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</si>
  <si>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</si>
  <si>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</si>
  <si>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</si>
  <si>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</si>
  <si>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</si>
  <si>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</si>
  <si>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</si>
  <si>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</si>
  <si>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</si>
  <si>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</si>
  <si>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</si>
  <si>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ДОХОДЫ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</si>
  <si>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</si>
  <si>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</si>
  <si>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</si>
  <si>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</si>
  <si>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</si>
  <si>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</si>
  <si>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</si>
  <si>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</si>
  <si>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</si>
  <si>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</si>
  <si>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</si>
  <si>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</si>
  <si>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</si>
  <si>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</si>
  <si>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</si>
  <si>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</si>
  <si>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</si>
  <si>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</si>
  <si>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</si>
  <si>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</si>
  <si>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</si>
  <si>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</si>
  <si>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</si>
  <si>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</si>
  <si>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</si>
  <si>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</si>
  <si>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</si>
  <si>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</si>
  <si>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Мероприятие "Организация и проведение выставок, ярмарок, коллективных стендов малых и средних предприятий на выставочных мероприятиях"</t>
  </si>
  <si>
    <t xml:space="preserve">Проведение работ по координированию границ функциональных зон правил землепользования и застройки </t>
  </si>
  <si>
    <t>99 9 00 00131</t>
  </si>
  <si>
    <t>99 9 00 00133</t>
  </si>
  <si>
    <t>Подпрограмма "Вовлечение общественности в предупреждение правонарушений"</t>
  </si>
  <si>
    <t>Мероприятие "Материальное стимулирование деятельности народных дружинников"</t>
  </si>
  <si>
    <t>12 1 00 00000</t>
  </si>
  <si>
    <t>Подпрограмма  «Снос аварийного жилья в г.Владикавказе»</t>
  </si>
  <si>
    <t>09 5 00 00000</t>
  </si>
  <si>
    <t>Мероприятие "Обследование и подготовка технических заключений для ветхих и аварийных домов, заключение договоров мены у нотариуса, экспертные заключения"</t>
  </si>
  <si>
    <t xml:space="preserve"> 09 7 0М S9601</t>
  </si>
  <si>
    <t>09 7 00 00110</t>
  </si>
  <si>
    <t>09 7 00 00190</t>
  </si>
  <si>
    <t>Муниципальная программа "Развитие  молодежной политики, физической культуры и спорта в МО г.Владикавказ на 2018 -2021 годы"</t>
  </si>
  <si>
    <t>Финансовое обеспечение деятельности МБУК "Централизованная библиотечная система г.Владикавказа"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</si>
  <si>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</si>
  <si>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Субсидии юридическим лицам (кроме некоммерческих организаций), индивидуальным предпринимателям, физическим лицам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</si>
  <si>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</si>
  <si>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</si>
  <si>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</si>
  <si>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</si>
  <si>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</si>
  <si>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</si>
  <si>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000 2 02 15001 04 0001 150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</si>
  <si>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</si>
  <si>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</si>
  <si>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</si>
  <si>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</si>
  <si>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</si>
  <si>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</si>
  <si>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</si>
  <si>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</si>
  <si>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</si>
  <si>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</si>
  <si>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на 2020 год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</si>
  <si>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</si>
  <si>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Субвенции на выплату компенсации части родительской платы за содержание ребенка в муниципальных образовательных учреждениях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</si>
  <si>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</si>
  <si>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</si>
  <si>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</si>
  <si>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Предусмотрено по бюджету на 2020 год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</si>
  <si>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</si>
  <si>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</si>
  <si>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Расходы на учреждение по обеспечению хозяйственного обслуживания ВМКУ ТХО АМС г.Владикавказа</t>
  </si>
  <si>
    <t>Муниципальная программа "Информатизация муниципального образования города Владикавказа на 2020 год и на плановый период 2021 и 2022 годов"</t>
  </si>
  <si>
    <t>Подпрограмма "Цифровизация городского хозяйства в рамках реализации проекта "Умный город"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</si>
  <si>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</si>
  <si>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</si>
  <si>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01 1 03 00108</t>
  </si>
  <si>
    <t>Мероприятие "Сопровождение автоматизированных систем"</t>
  </si>
  <si>
    <t>01 2 01 00111</t>
  </si>
  <si>
    <t>Мероприятие "Оплата услуг городской, междугородней и международной телефонной связи для АМС г.Владикавказа и подведомственных образовательных учреждений"</t>
  </si>
  <si>
    <t>01 2 02 00112</t>
  </si>
  <si>
    <t>Мероприятие "Обеспечение доступа с сети Интернет для АМС г.Владикавказа и подведомственных образовательных учреждений "</t>
  </si>
  <si>
    <t>01 2 03 00113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</si>
  <si>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 "</t>
  </si>
  <si>
    <t>01 2 04 00114</t>
  </si>
  <si>
    <t>01 2 05 00115</t>
  </si>
  <si>
    <t>01 2 06 00116</t>
  </si>
  <si>
    <t>01 3 01 00117</t>
  </si>
  <si>
    <t>Мероприятие "Организация защиты информационных систем персональных данных (ИСПДн)"</t>
  </si>
  <si>
    <t>01 3 03 00119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</si>
  <si>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</si>
  <si>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</si>
  <si>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"Ежеквартальное проведение мониторинга социально-экономических и иных процессов, оказывающих влияние на ситуацию в области профилактики терроризма"</t>
  </si>
  <si>
    <t>06 2 01 00120</t>
  </si>
  <si>
    <t>99 9 00 00122</t>
  </si>
  <si>
    <t>99 9 00 00123</t>
  </si>
  <si>
    <t>Муниципальная программа «Поддержка и развитие малого, среднего предпринимательства и инвестиционной деятельности в г.Владикавказе» на 2020- 2022 годы</t>
  </si>
  <si>
    <t>Мероприятие "Организация консультативной поддержки субъектам малого и среднего предпринимательства по вопросам организации торговли, кредитования, налогообложения, бухгалтерского учета, преодоления административных барьеров, в том числе и на принципах аутсорсинга"</t>
  </si>
  <si>
    <t>05 0 01 00124</t>
  </si>
  <si>
    <t>05 0 02 00125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</si>
  <si>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</si>
  <si>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05 0 03 00126</t>
  </si>
  <si>
    <t>05 0 04 00127</t>
  </si>
  <si>
    <t>Мероприятие "Подготовка   технических заданий, тех.  условий при формировании  инвестиционных проектов, в том числе проектов муниципально-частного партнерства "</t>
  </si>
  <si>
    <t>05 0 05 00128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</si>
  <si>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</si>
  <si>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</si>
  <si>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Муниципальная целевая программа «Социальная поддержка
нуждающегося населения г.Владикавказа» на 2020 год и на плановый период
2021 и 2022 годов</t>
  </si>
  <si>
    <t>02 0 01 00132</t>
  </si>
  <si>
    <t>99 9 00 00136</t>
  </si>
  <si>
    <t>Муниципальная программа "Профилактика правонарушений в городе Владикавказе на 2020-2022 годы"</t>
  </si>
  <si>
    <t>12 1 02 00121</t>
  </si>
  <si>
    <t>Муниципальная программа "Развитие  молодежной политики, физической культуры и спорта в МО г.Владикавказ на 2018-2021 годы"</t>
  </si>
  <si>
    <t>11 1 01 00139</t>
  </si>
  <si>
    <t>Подпрограмма "Реализация мероприятий в области физической культуры и спорта, пропаганда здорового образа жизни"</t>
  </si>
  <si>
    <t>11 2 01 00140</t>
  </si>
  <si>
    <t>11 3 01 00141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</si>
  <si>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</si>
  <si>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</si>
  <si>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</si>
  <si>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</si>
  <si>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Муниципальная программа "Развитие транспортной инфраструктуры г.Владикавказа на 2020 год и на плановый период 2021 и 2022 годов"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</si>
  <si>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</si>
  <si>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03 2 01 00142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</si>
  <si>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</si>
  <si>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«Автомобильные дороги и улично-дорожная сеть (проектирование, строительство, реконструкция, капитальный ремонт, ремонт и содержание автомобильных дорог) г.Владикавказа»</t>
  </si>
  <si>
    <t>03 3 01 00143</t>
  </si>
  <si>
    <t>Закупка товаров, работ и услуг для обеспечения государственных (муниципальных) нужд</t>
  </si>
  <si>
    <t>03 3 04 00146</t>
  </si>
  <si>
    <t>Субсидия на дорожную деятельность в отношении автомобильных дорог общего пользования местного значения</t>
  </si>
  <si>
    <t>03 4 01 00147</t>
  </si>
  <si>
    <t>03 4 02 00148</t>
  </si>
  <si>
    <t>Муниципальная программа «Развитие культуры г.Владикавказа на 2020 год и плановый период 2021-2022 годы"</t>
  </si>
  <si>
    <t>08 1 01 00149</t>
  </si>
  <si>
    <t>Мероприятие "Развитие системы художественно-эстетического образования в сфере культуры  МО г.Владикавказа"</t>
  </si>
  <si>
    <t>08 3 01 00159</t>
  </si>
  <si>
    <t>08 2 01 00156</t>
  </si>
  <si>
    <t>08 2 03 00158</t>
  </si>
  <si>
    <t xml:space="preserve">Предоставление субсидий бюджетным, автономным учреждениям и иным некоммерческим организациям
</t>
  </si>
  <si>
    <t xml:space="preserve"> Субсидии некоммерческим организациям (за исключением государственных (муниципальных) учреждений)</t>
  </si>
  <si>
    <t>08 3 03 00161</t>
  </si>
  <si>
    <t>Мероприятие "Развитие библиотечного дела в библиотеках МО г.Владикавказа"</t>
  </si>
  <si>
    <t>08 3 02 00160</t>
  </si>
  <si>
    <t>08 1 02 00150</t>
  </si>
  <si>
    <t>08 1 05 00153</t>
  </si>
  <si>
    <t>08 1 07 00155</t>
  </si>
  <si>
    <t>13 0 F2 55554</t>
  </si>
  <si>
    <t>Муниципальная  целевая программа "Благоустройство и озеленение г.Владикавказа" на 2020-2022 годы</t>
  </si>
  <si>
    <t>04 0 12 00172</t>
  </si>
  <si>
    <t>Мероприятие "Благоустройство парков, скверов и набережных"</t>
  </si>
  <si>
    <t>04 0 01 00162</t>
  </si>
  <si>
    <t>04 0 04 00165</t>
  </si>
  <si>
    <t>04 0 05 00166</t>
  </si>
  <si>
    <t>04 0 06 00167</t>
  </si>
  <si>
    <t>04 0 08 00169</t>
  </si>
  <si>
    <t>04 0 09 00170</t>
  </si>
  <si>
    <t>04 0 10 00146</t>
  </si>
  <si>
    <t>04 0 13 00173</t>
  </si>
  <si>
    <t>04 0 14 00174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</si>
  <si>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</si>
  <si>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</si>
  <si>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10 0 0М S9602</t>
  </si>
  <si>
    <t>10 0 0М L0270</t>
  </si>
  <si>
    <t>10 0 11 00185</t>
  </si>
  <si>
    <t>10 0 02 00176</t>
  </si>
  <si>
    <t>10 0 01 00175</t>
  </si>
  <si>
    <t>Мероприятие "Ремонт детских и спортивных площадок"</t>
  </si>
  <si>
    <t>10 0 13 00187</t>
  </si>
  <si>
    <t>Мероприятие "Ремонт подземных переходов в г.Владикавказ"</t>
  </si>
  <si>
    <t>10 0 14 00188</t>
  </si>
  <si>
    <t>10 0 04 00178</t>
  </si>
  <si>
    <t>10 0 08 00182</t>
  </si>
  <si>
    <t>Подпрограмма "Обеспечение безопасности и надежности систем инженерно-технического обеспечения г.Владикавказа"</t>
  </si>
  <si>
    <t>Мероприятие "Обеспечение безопасности и надежности систем инженерно-технического обеспечения г.Владикавказа"</t>
  </si>
  <si>
    <t>Подпрограмма "Ремонт зданий и объектов муниципальной собственности"</t>
  </si>
  <si>
    <t>Мероприятие "Ремонт муниципальных квартир, объектов (общежитий)"</t>
  </si>
  <si>
    <t>09 2 01 00194</t>
  </si>
  <si>
    <t>09 1 02 00191</t>
  </si>
  <si>
    <t>Мероприятие "Замена бойлеров"</t>
  </si>
  <si>
    <t>09 1 03 00192</t>
  </si>
  <si>
    <t>09 1 04 00193</t>
  </si>
  <si>
    <t>Мероприятие "Проектирование и строительство сетей уличного освещения"</t>
  </si>
  <si>
    <t>09 3 01 00196</t>
  </si>
  <si>
    <t>09 3 03 00198</t>
  </si>
  <si>
    <t>09 4 01 00199</t>
  </si>
  <si>
    <t>Мероприятие "Паспортизация многоквартирных домов, имеющих непосредственную форму управления и в которых жильцами неопределена форма управления"</t>
  </si>
  <si>
    <t>09 5 01 00200</t>
  </si>
  <si>
    <t>09 5 02 00201</t>
  </si>
  <si>
    <t>09 5 03 00202</t>
  </si>
  <si>
    <t>09 6 00 00203</t>
  </si>
  <si>
    <t xml:space="preserve"> 09 7 02 00204</t>
  </si>
  <si>
    <t xml:space="preserve"> 09 7 03 00205</t>
  </si>
  <si>
    <t xml:space="preserve"> 09 7 04 00206</t>
  </si>
  <si>
    <t xml:space="preserve"> 09 7 05 00207</t>
  </si>
  <si>
    <t xml:space="preserve"> 09 7 06 00208</t>
  </si>
  <si>
    <t>Мероприятие "Техническое обслуживание и эксплуатация сетей ливневой канализации"</t>
  </si>
  <si>
    <t>09 7 07 00209</t>
  </si>
  <si>
    <t>99 9 00 00210</t>
  </si>
  <si>
    <t>99 9 00 00211</t>
  </si>
  <si>
    <t>99 9 00 00213</t>
  </si>
  <si>
    <t xml:space="preserve"> Премии и гранты
</t>
  </si>
  <si>
    <t>350</t>
  </si>
  <si>
    <t>07 1 01 00214</t>
  </si>
  <si>
    <t>07 1 02 00215</t>
  </si>
  <si>
    <t>07 1 03 00216</t>
  </si>
  <si>
    <t>07 1 04 00217</t>
  </si>
  <si>
    <t>07 1 05 00218</t>
  </si>
  <si>
    <t>07 3 03 00223</t>
  </si>
  <si>
    <t>07 2 01 00219</t>
  </si>
  <si>
    <t>07 2 02 00220</t>
  </si>
  <si>
    <t>07 2 03 00221</t>
  </si>
  <si>
    <t>07 3 02 00222</t>
  </si>
  <si>
    <t>Муниципальная целевая  программа «Развитие образования города Владикавказа на 2020 год и на плановый период 2021-2022 годы»</t>
  </si>
  <si>
    <t>Ведомственная структура расходов бюджета муниципального образования г.Владикавказ на 2020 год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</si>
  <si>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2020 год </t>
  </si>
  <si>
    <t>05 0 00 0000</t>
  </si>
  <si>
    <t xml:space="preserve"> на 2020 год</t>
  </si>
  <si>
    <t>Муниципальная программа"Городская инвестиционная программа г.Владикавказа на 2020 год и плановый период 2021-2022 годы"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</si>
  <si>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</si>
  <si>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</si>
  <si>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</si>
  <si>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</si>
  <si>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Муниципальная целевая программа "Развитие жилищно-коммунального хозяйства муниципального образования город Владикавказ на 2020 год и плановый период 2021-2022 годов"</t>
  </si>
  <si>
    <t>10 0 16 00225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</si>
  <si>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</si>
  <si>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</si>
  <si>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Мероприятие "Ремонт проспекта Мира в г.Владикавказ"</t>
  </si>
  <si>
    <t>Субсидия на ремонт проспекта Мира в г.Владикавказе</t>
  </si>
  <si>
    <t xml:space="preserve">10 0 0Р 10186 </t>
  </si>
  <si>
    <t>Мероприятие "Установка скульптурных композиций на Мемориале Славы в г.Владикавказе"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</si>
  <si>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</si>
  <si>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</si>
  <si>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Расходы на содержание казенных учреждений (МКУ "Правовое обеспечение", МКУ "ВПЦ")</t>
  </si>
  <si>
    <t>000 2 02 25497 04 0000 150</t>
  </si>
  <si>
    <t xml:space="preserve">Субсидии бюджетам городских округов на реализацию мероприятий по обеспечению жильем молодых семей
</t>
  </si>
  <si>
    <t>Обеспечение жильем молодых семей за счет средств федерального и республиканского бюджета</t>
  </si>
  <si>
    <t>99 9 0P L4970</t>
  </si>
  <si>
    <t>Обеспечение жильем молодых семей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</si>
  <si>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</si>
  <si>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</si>
  <si>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</si>
  <si>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</si>
  <si>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</si>
  <si>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</si>
  <si>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>000 2 02 25027 04 0000 150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</si>
  <si>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
</t>
  </si>
  <si>
    <t>Реализация мероприятий государственной программы Российской Федерации "Доступная среда"</t>
  </si>
  <si>
    <t>07 1 0P L0270</t>
  </si>
  <si>
    <t xml:space="preserve">Реализация мероприятий государственной программы Российской Федерации "Доступная среда"
</t>
  </si>
  <si>
    <t>07 1 0Р L0270</t>
  </si>
  <si>
    <t xml:space="preserve">Реализация мероприятий государственной программы Российской Федерации "Доступная среда" </t>
  </si>
  <si>
    <t>000 2 02 25519 04 0000 150</t>
  </si>
  <si>
    <t>Субсидия бюджетам городских округов на поддержку отрасли культуры</t>
  </si>
  <si>
    <t>Мероприятия на поддержку отрасли культуры за счет средств бюджетов</t>
  </si>
  <si>
    <t xml:space="preserve">603 </t>
  </si>
  <si>
    <t>08 3 0P L5190</t>
  </si>
  <si>
    <t xml:space="preserve">Софинансирование на поддержку отрасли культуры </t>
  </si>
  <si>
    <t>08 3 0М L5190</t>
  </si>
  <si>
    <t>000 2 02 25555 04 0000 150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</si>
  <si>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</si>
  <si>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Реализация мероприятий по формированию современной городской среды </t>
  </si>
  <si>
    <t>13 0 F2 55550</t>
  </si>
  <si>
    <t>Проведение творческих конкурсных работ по разработке эскизных проектов</t>
  </si>
  <si>
    <t>99 9 00 00226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</si>
  <si>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</si>
  <si>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Мероприятие "Ремонт многоквартирных домов"</t>
  </si>
  <si>
    <t>Мероприятие "Подготовка и издание информационно-справочных пособий для предпринимателей (до 2 изданий в год) по вопросам регулирования торговой деятельности, налогооблажения, бухгалтерского учета, кредитования, а также вопросов, связанных с началом предпринимательской деятельности"</t>
  </si>
  <si>
    <t>000 2 02 49999 04 0066 150</t>
  </si>
  <si>
    <t>Прочие межбюджетные трансферты, передаваемые бюджетам городских округов (реализация мероприятий активной политики занятости)</t>
  </si>
  <si>
    <t>Общеэкономические вопросы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</si>
  <si>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</si>
  <si>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 9 0Р 21670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</si>
  <si>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</si>
  <si>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10 0 0Ф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</si>
  <si>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</si>
  <si>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10 0 0P 09602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</si>
  <si>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</si>
  <si>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Приложение 1</t>
  </si>
  <si>
    <t>Приложение 3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</si>
  <si>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</si>
  <si>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Мероприятие "Благоустройство площадки для временного содержания бездомных животных"</t>
  </si>
  <si>
    <t>10 0 17 00227</t>
  </si>
  <si>
    <t>000 2 02 49999 04 0146 150</t>
  </si>
  <si>
    <t>Прочие межбюджетные трансферты, передаваемые бюджетам городских округов (обеспечение деятельности по оказанию коммунальной услуги населению по обращению с твердыми коммунальными отходами)</t>
  </si>
  <si>
    <t>Мероприятие по обеспечению деятельности по оказанию коммунальной услуги населению по обращению с твердыми коммунальными отходами</t>
  </si>
  <si>
    <t>04 0 G2 52680</t>
  </si>
  <si>
    <t>000 2 02 20299 04 0000 150</t>
  </si>
  <si>
    <t>09 7 F3 67483</t>
  </si>
  <si>
    <t>03 1 02 00146</t>
  </si>
  <si>
    <t>09 7 F3 6748S</t>
  </si>
  <si>
    <t>000 2 02 49999 04 0147 150</t>
  </si>
  <si>
    <t>Прочие межбюджетные трансферты, передаваемые бюджетам городских округов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</si>
  <si>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000 2 02 45303 04 0000 150</t>
  </si>
  <si>
    <t>000 2 02 40000 00 0000 150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</si>
  <si>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</si>
  <si>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</si>
  <si>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1 0Ф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</si>
  <si>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</si>
  <si>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1 0P R3040</t>
  </si>
  <si>
    <t>к проекту решения Собрания представителей</t>
  </si>
  <si>
    <t>000 2 02  29999 04 0000 150</t>
  </si>
  <si>
    <t>Прочие субсидии бюджетам городских округов (софинансирование мероприятий по ремонту проспекта Мира)</t>
  </si>
  <si>
    <t>1.</t>
  </si>
  <si>
    <t>Администрация (префектура) внутригородского Иристонского района г.Владикавказа</t>
  </si>
  <si>
    <t>Администрация (префектура) внутригородского Северо-Западного района г.Владикавказа</t>
  </si>
  <si>
    <t>Администрация (префектура) внутригородского Затеречного района г.Владикавказа</t>
  </si>
  <si>
    <t>607</t>
  </si>
  <si>
    <t>Администрация (префектура) внутригородского Промышленного района г.Владикавказа</t>
  </si>
  <si>
    <t>608</t>
  </si>
  <si>
    <t>Мероприятие "Присвоение звания "Почетный гражданин города Владикавказа"</t>
  </si>
  <si>
    <t>99 9 00 00228</t>
  </si>
  <si>
    <t>% исполнения</t>
  </si>
  <si>
    <t xml:space="preserve">СУММА  на 2020 год                       </t>
  </si>
  <si>
    <t>Поощрение за достижение показателей деятельности органов исполнительной власти субъектов Российской Федерации</t>
  </si>
  <si>
    <t>99 9 00 5549F</t>
  </si>
  <si>
    <t>Исполнение за 2020 год</t>
  </si>
  <si>
    <t>Целевое назначение</t>
  </si>
  <si>
    <t>Получатель средств (ведомство)</t>
  </si>
  <si>
    <t>Основание (постановление, распоряжение, дата, номер)</t>
  </si>
  <si>
    <t>№ п/п</t>
  </si>
  <si>
    <t xml:space="preserve">Отчет об использовании ассигнований резервного фонда администрации местного самоуправления г.Владикавказа </t>
  </si>
  <si>
    <t>к пояснительной записке</t>
  </si>
  <si>
    <t>Приложение № 4</t>
  </si>
  <si>
    <t>за 2020 год</t>
  </si>
  <si>
    <t>Кассовое исполнение за                  2020 год</t>
  </si>
  <si>
    <t>Финансовое управления АМС г.Владикавказа</t>
  </si>
  <si>
    <t>Администратор источников</t>
  </si>
  <si>
    <t>бюджета муниципального образования г.Владикавказ по кодам классификации источников финансирования дефицитов бюджетов</t>
  </si>
  <si>
    <t>Приложение №4</t>
  </si>
  <si>
    <t xml:space="preserve"> 1 08 07082 01 1001 110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</si>
  <si>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</si>
  <si>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Управление Республики Северная Осетия-Алания по  лицензированию и осуществлению лицензионного контроля розничной продажи алкогольной продукции</t>
  </si>
  <si>
    <t>1 14 06012 04 0000 430</t>
  </si>
  <si>
    <t>1 14 02043 04 0000 410</t>
  </si>
  <si>
    <t xml:space="preserve"> 1 11 07014 04 0000 120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</si>
  <si>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</si>
  <si>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</si>
  <si>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</si>
  <si>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</si>
  <si>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Управление муниципальным имуществом, земельными ресурсами, архитектуры и градостроительства АМС г. Владикавказа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</si>
  <si>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</si>
  <si>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</si>
  <si>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учреждениях)</t>
  </si>
  <si>
    <t>Субвенции бюджетам городских округов на выполнение передаваемых полномочий субъектов Российской Федерации (получение общедоступного  и бесплатного дошкольного образования в муниципальных дошкольных образовательных организациях)</t>
  </si>
  <si>
    <t>Дотации бюджетам городских округов на выравнивание бюджетной обеспеченности (выравнивание бюджетной обеспеченности поселений из республиканского фонда финансовой поддержки поселений)</t>
  </si>
  <si>
    <t>Дотации бюджетам городских округов на выравнивание бюджетной обеспеченности (выравнивание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</si>
  <si>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>1 17 05040 04 0000 180</t>
  </si>
  <si>
    <t>Прочие неналоговые доходы бюджетов городских округов</t>
  </si>
  <si>
    <t xml:space="preserve"> 1 13 02994 04 0000 130</t>
  </si>
  <si>
    <t>Прочие доходы от компенсации затрат бюджетов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</si>
  <si>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</si>
  <si>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</si>
  <si>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1 17 05040 04 0000 180</t>
  </si>
  <si>
    <t>Невыясненные поступления, зачисляемые в бюджеты городских округов</t>
  </si>
  <si>
    <t>1 08 07150 01 1000 110</t>
  </si>
  <si>
    <t>Государственная пошлина за выдачу разрешения на установку рекламной конструкции</t>
  </si>
  <si>
    <t>498</t>
  </si>
  <si>
    <t>Федеральная служба по экологическому, технологическому и атомному надзору по РСО-Алания</t>
  </si>
  <si>
    <t>321</t>
  </si>
  <si>
    <t>Федеральная служба государственной регистрации, кадастра и картографии по РСО-Алания</t>
  </si>
  <si>
    <t>188</t>
  </si>
  <si>
    <t xml:space="preserve">Министерство внутренних дел по РСО-Алания </t>
  </si>
  <si>
    <t>1 08 03010 01 1000 110</t>
  </si>
  <si>
    <t>1 06 06042 04 1000 110</t>
  </si>
  <si>
    <t>Земельный налог с физических лиц, обладающих земельным участком, расположенным в границах городских округов</t>
  </si>
  <si>
    <t>1 06 06032 04 1000 110</t>
  </si>
  <si>
    <t xml:space="preserve">Земельный налог с организаций, обладающих земельным участком, расположенным в границах городских округов </t>
  </si>
  <si>
    <t>1 06 02010 02 1000 110</t>
  </si>
  <si>
    <t>Налог на имущество организаций по имуществу, не входящему в Единую систему газоснабжения</t>
  </si>
  <si>
    <t>1 06 01020 04 1000 110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</si>
  <si>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</si>
  <si>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</si>
  <si>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</t>
  </si>
  <si>
    <t>1 05 03010 01 1000 110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</si>
  <si>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</si>
  <si>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</si>
  <si>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1 05 02010 02 1000 110</t>
  </si>
  <si>
    <t>1 05 01022 01 1000 110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</si>
  <si>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</si>
  <si>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</si>
  <si>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</si>
  <si>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1 05 01012 01 1000 110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</si>
  <si>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</si>
  <si>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1 05 01011 01 1000 110</t>
  </si>
  <si>
    <t>Налог, взимаемый с налогоплательщиков, выбравших в качестве объекта налогообложения  доходы</t>
  </si>
  <si>
    <t>1 01 02030 01 1000 110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</si>
  <si>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</si>
  <si>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1 01 02020 01 1000 110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</si>
  <si>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</si>
  <si>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1 01 02010 01 1000 110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</si>
  <si>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</si>
  <si>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</si>
  <si>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Федеральная налоговая служба по РСО-Алания</t>
  </si>
  <si>
    <t>157</t>
  </si>
  <si>
    <t>Управление Федеральная службы государственной статистики</t>
  </si>
  <si>
    <t>161</t>
  </si>
  <si>
    <t>Федеральная антимонопольная служба по РСО-Алания</t>
  </si>
  <si>
    <t>Управление Федеральной службы по регулированию алкогольного рынка по РСО-Алания</t>
  </si>
  <si>
    <t>141</t>
  </si>
  <si>
    <t>Федеральная служба по надзору в сфере защиты прав потребителей и благополучия человека</t>
  </si>
  <si>
    <t>106</t>
  </si>
  <si>
    <t>Федеральная служба по надзору в сфере транспорта</t>
  </si>
  <si>
    <t>1 03 02261 01 0000 110</t>
  </si>
  <si>
    <t>Доходы от уплаты акцизов на прямогонный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</si>
  <si>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</si>
  <si>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</si>
  <si>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</si>
  <si>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</si>
  <si>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</si>
  <si>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</si>
  <si>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 по РСО-Алания</t>
  </si>
  <si>
    <t>096</t>
  </si>
  <si>
    <t>Федеральная служба по надзору в сфере связи, информационных технологий  и массовых коммуникаций</t>
  </si>
  <si>
    <t>081</t>
  </si>
  <si>
    <t>Федеральная служба по ветеринарному и фитосанитарному надзору</t>
  </si>
  <si>
    <t>076</t>
  </si>
  <si>
    <t>Федеральное агенство по рыболовству</t>
  </si>
  <si>
    <t>1 12 01000 01 0000 120</t>
  </si>
  <si>
    <t>048</t>
  </si>
  <si>
    <t>Федеральная служба по надзору в сфере природопользования</t>
  </si>
  <si>
    <t>доходов местного бюджета</t>
  </si>
  <si>
    <t>администратора поступлений</t>
  </si>
  <si>
    <t>Код бюджетной классификации</t>
  </si>
  <si>
    <t>Наименование показателя</t>
  </si>
  <si>
    <t>по кодам классификации доходов бюджета</t>
  </si>
  <si>
    <t>Доходы</t>
  </si>
  <si>
    <t>Приложение №1</t>
  </si>
  <si>
    <r>
      <t xml:space="preserve">г.Владикавказ от " __ " </t>
    </r>
    <r>
      <rPr>
        <u/>
        <sz val="12"/>
        <rFont val="Times New Roman"/>
        <family val="1"/>
        <charset val="204"/>
      </rPr>
      <t>_____</t>
    </r>
    <r>
      <rPr>
        <sz val="12"/>
        <rFont val="Times New Roman"/>
        <family val="1"/>
        <charset val="204"/>
      </rPr>
      <t xml:space="preserve"> 2021 года №</t>
    </r>
    <r>
      <rPr>
        <u/>
        <sz val="12"/>
        <rFont val="Times New Roman"/>
        <family val="1"/>
        <charset val="204"/>
      </rPr>
      <t>____</t>
    </r>
  </si>
  <si>
    <t>Приложение 2</t>
  </si>
  <si>
    <t>Приложение №2</t>
  </si>
  <si>
    <t>г.Владикавказ от " ___ " _______ 2021 года №_____</t>
  </si>
  <si>
    <t>Приложение №3</t>
  </si>
  <si>
    <t>Уточненный план на 2020 год</t>
  </si>
  <si>
    <t>Кассовое исполнение                   за 2020 год</t>
  </si>
  <si>
    <t>Кассовое исполнение за 2020 год</t>
  </si>
  <si>
    <t>Распоряжение администрации местного самоуправления г.Владикавказа</t>
  </si>
  <si>
    <t>АМС г.Владикавказа</t>
  </si>
  <si>
    <t>О выделении средств из резервного фонда АМС г.Владикавказа</t>
  </si>
  <si>
    <t>в связи с оказанием материальной помощи Буравлевой Светлане Николаевне</t>
  </si>
  <si>
    <t>000 2 02 16549 04 0000 150</t>
  </si>
  <si>
    <t xml:space="preserve">  Дотации (гранты) бюджетам за достижение показателей деятельности органов местного самоуправления</t>
  </si>
  <si>
    <t>000 2 19 00000 04 0000 151</t>
  </si>
  <si>
    <t>Возврат остатков субсидий и субвенций прошлых лет</t>
  </si>
  <si>
    <t xml:space="preserve">бюджета муниципального образования г.Владикавказ за 2020 год 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</si>
  <si>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</si>
  <si>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1 16 10123 01 0041  140</t>
  </si>
  <si>
    <t xml:space="preserve"> 1 16 10123 01 0111  140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</si>
  <si>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</si>
  <si>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</si>
  <si>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1 16 10129 01 0000 140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</si>
  <si>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</si>
  <si>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</si>
  <si>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</si>
  <si>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1 16 07010 04 0000 140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</si>
  <si>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</si>
  <si>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</si>
  <si>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</si>
  <si>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1 16 10100 04 0000 140</t>
  </si>
  <si>
    <t xml:space="preserve"> 1 17 01040 04 0000 180</t>
  </si>
  <si>
    <t>Прочие неналоговые доходы бюджетов городских округов (временная торговля)</t>
  </si>
  <si>
    <t>Комитет жилищно - коммунального хозяйства и энергетики г. Владикавказа</t>
  </si>
  <si>
    <t xml:space="preserve"> 1 11 09044 04 0000 120</t>
  </si>
  <si>
    <t>2 02 15001 04 0000 150</t>
  </si>
  <si>
    <t>2 02 15002 04 0000 150</t>
  </si>
  <si>
    <t>2 02 16549 04 0000 150</t>
  </si>
  <si>
    <t xml:space="preserve"> 2 02 20216 04 0060 150</t>
  </si>
  <si>
    <t xml:space="preserve"> 2 02 20299 04 0000 150</t>
  </si>
  <si>
    <t xml:space="preserve"> 2 02 25027 04 0000 150</t>
  </si>
  <si>
    <t xml:space="preserve"> 2 02 25299 04 0000 150</t>
  </si>
  <si>
    <t xml:space="preserve"> 2 02 25497 04 0000 150</t>
  </si>
  <si>
    <t xml:space="preserve"> 2 02 25519 04 0000 150</t>
  </si>
  <si>
    <t xml:space="preserve"> 2 02 25555 04 0000 150</t>
  </si>
  <si>
    <t xml:space="preserve"> 2 02  29999 04 0000 150</t>
  </si>
  <si>
    <t xml:space="preserve">2 02 30024 04 0062 150          </t>
  </si>
  <si>
    <t xml:space="preserve">2 02 30024 04 0063 150          </t>
  </si>
  <si>
    <t xml:space="preserve">2 02 30024 04 0067 150                </t>
  </si>
  <si>
    <t xml:space="preserve">2 02 30024 04 0075 150 </t>
  </si>
  <si>
    <t>2 02 30029 04 0064 150</t>
  </si>
  <si>
    <t xml:space="preserve"> 2 02 45303 04 0000 150</t>
  </si>
  <si>
    <t xml:space="preserve"> 2 02 45393 04 0000 150
</t>
  </si>
  <si>
    <t xml:space="preserve"> 2 02 49999 04 0066 150</t>
  </si>
  <si>
    <t xml:space="preserve"> 2 02 49999 04 0146 150</t>
  </si>
  <si>
    <t xml:space="preserve"> 2 02 49999 04 0147 150</t>
  </si>
  <si>
    <t>2 19 60010 04 0000 150</t>
  </si>
  <si>
    <t>Аппарат мироых судей Республики Северная Осетия-Алания</t>
  </si>
  <si>
    <t>769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</si>
  <si>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</si>
  <si>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1 16 01053 01 0040 140</t>
  </si>
  <si>
    <t xml:space="preserve"> 1 16 01053 01 0059 140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</si>
  <si>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</si>
  <si>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</si>
  <si>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</si>
  <si>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</si>
  <si>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</si>
  <si>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</si>
  <si>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</si>
  <si>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1 16 01093 01 0000 140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</si>
  <si>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</si>
  <si>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</si>
  <si>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</si>
  <si>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</si>
  <si>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</si>
  <si>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1 16 01153 01 0900 140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</si>
  <si>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</si>
  <si>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1 1 6 01173 01 0000 140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</si>
  <si>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 комиссиями по делам несовершеннолетних и защите их прав</t>
  </si>
  <si>
    <t xml:space="preserve">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</si>
  <si>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</si>
  <si>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1 16 01203 01 9000 140</t>
  </si>
  <si>
    <t>Отделение-Национальный банк по Республике Северная Осетия-Алания</t>
  </si>
  <si>
    <t xml:space="preserve"> 1 16 10123 01 0041 140</t>
  </si>
  <si>
    <t>Дотации (гранты) бюджетам за достижение показателей деятельности органов местного самоуправления</t>
  </si>
  <si>
    <t>И.о.начальника Финансового управления __________________  И.В. Айларов</t>
  </si>
  <si>
    <t>И.о. начальника Финансового управления __________________  И.В. Айларов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</si>
</sst>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_-* #,##0.0\ _₽_-;\-* #,##0.0\ _₽_-;_-* &quot;-&quot;?\ _₽_-;_-@_-"/>
    <numFmt numFmtId="170" formatCode="#,##0.0_ ;\-#,##0.0\ 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9" fillId="0" borderId="3">
      <alignment horizontal="left" wrapText="1" indent="2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49" fontId="18" fillId="0" borderId="1" xfId="0" applyNumberFormat="1" applyFont="1" applyFill="1" applyBorder="1" applyAlignment="1">
      <alignment horizontal="center" vertical="center" wrapText="1"/>
    </xf>
    <xf numFmtId="168" fontId="16" fillId="0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7" fontId="10" fillId="0" borderId="1" xfId="4" applyNumberFormat="1" applyFont="1" applyFill="1" applyBorder="1" applyAlignment="1">
      <alignment horizontal="right" vertical="center" wrapText="1"/>
    </xf>
    <xf numFmtId="167" fontId="16" fillId="0" borderId="1" xfId="4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17" fillId="0" borderId="1" xfId="4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5" fillId="0" borderId="0" xfId="0" applyFont="1" applyFill="1"/>
    <xf numFmtId="49" fontId="2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0" fontId="16" fillId="0" borderId="1" xfId="0" applyNumberFormat="1" applyFont="1" applyFill="1" applyBorder="1" applyAlignment="1">
      <alignment vertical="top" wrapText="1"/>
    </xf>
    <xf numFmtId="0" fontId="22" fillId="0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wrapText="1"/>
    </xf>
    <xf numFmtId="0" fontId="6" fillId="4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top" wrapText="1"/>
    </xf>
    <xf numFmtId="49" fontId="23" fillId="0" borderId="1" xfId="0" applyNumberFormat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7" fontId="5" fillId="2" borderId="1" xfId="4" applyNumberFormat="1" applyFont="1" applyFill="1" applyBorder="1" applyAlignment="1">
      <alignment horizontal="right" vertical="center" wrapText="1"/>
    </xf>
    <xf numFmtId="167" fontId="18" fillId="0" borderId="1" xfId="4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vertical="top" wrapText="1"/>
    </xf>
    <xf numFmtId="167" fontId="16" fillId="5" borderId="1" xfId="4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167" fontId="6" fillId="4" borderId="1" xfId="4" applyNumberFormat="1" applyFont="1" applyFill="1" applyBorder="1" applyAlignment="1">
      <alignment horizontal="right" vertical="center" wrapText="1"/>
    </xf>
    <xf numFmtId="167" fontId="16" fillId="3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9" fillId="0" borderId="0" xfId="4" applyNumberFormat="1" applyFont="1" applyFill="1" applyBorder="1" applyAlignment="1">
      <alignment horizontal="center" vertical="center"/>
    </xf>
    <xf numFmtId="166" fontId="16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Fill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166" fontId="9" fillId="0" borderId="1" xfId="4" applyNumberFormat="1" applyFont="1" applyBorder="1" applyAlignment="1">
      <alignment horizontal="right" vertical="center" wrapText="1"/>
    </xf>
    <xf numFmtId="166" fontId="5" fillId="0" borderId="1" xfId="4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6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9" fillId="0" borderId="1" xfId="4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top" wrapText="1"/>
    </xf>
    <xf numFmtId="166" fontId="6" fillId="0" borderId="1" xfId="4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vertical="top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7" fontId="16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 wrapText="1"/>
    </xf>
    <xf numFmtId="167" fontId="20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167" fontId="11" fillId="6" borderId="1" xfId="4" applyNumberFormat="1" applyFont="1" applyFill="1" applyBorder="1" applyAlignment="1">
      <alignment horizontal="right" vertical="center" wrapText="1"/>
    </xf>
    <xf numFmtId="49" fontId="10" fillId="6" borderId="1" xfId="0" applyNumberFormat="1" applyFont="1" applyFill="1" applyBorder="1" applyAlignment="1">
      <alignment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167" fontId="10" fillId="6" borderId="1" xfId="4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49" fontId="20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horizontal="center" vertical="center" wrapText="1"/>
    </xf>
    <xf numFmtId="167" fontId="17" fillId="6" borderId="1" xfId="4" applyNumberFormat="1" applyFont="1" applyFill="1" applyBorder="1" applyAlignment="1">
      <alignment horizontal="right" vertical="center" wrapText="1"/>
    </xf>
    <xf numFmtId="49" fontId="22" fillId="6" borderId="1" xfId="0" applyNumberFormat="1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vertical="top" wrapText="1"/>
    </xf>
    <xf numFmtId="49" fontId="20" fillId="7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top" wrapText="1"/>
    </xf>
    <xf numFmtId="166" fontId="16" fillId="6" borderId="1" xfId="4" applyNumberFormat="1" applyFont="1" applyFill="1" applyBorder="1" applyAlignment="1">
      <alignment horizontal="right" vertical="center" wrapText="1"/>
    </xf>
    <xf numFmtId="166" fontId="10" fillId="6" borderId="1" xfId="4" applyNumberFormat="1" applyFont="1" applyFill="1" applyBorder="1" applyAlignment="1">
      <alignment horizontal="right" vertical="center" wrapText="1"/>
    </xf>
    <xf numFmtId="166" fontId="17" fillId="6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>
      <alignment horizontal="center" vertical="center" wrapText="1"/>
    </xf>
    <xf numFmtId="0" fontId="17" fillId="6" borderId="1" xfId="0" applyNumberFormat="1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vertical="top" wrapText="1"/>
    </xf>
    <xf numFmtId="167" fontId="18" fillId="6" borderId="1" xfId="4" applyNumberFormat="1" applyFont="1" applyFill="1" applyBorder="1" applyAlignment="1">
      <alignment horizontal="right" vertical="center" wrapText="1"/>
    </xf>
    <xf numFmtId="49" fontId="23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top" wrapText="1"/>
    </xf>
    <xf numFmtId="0" fontId="20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68" fontId="20" fillId="6" borderId="1" xfId="4" applyNumberFormat="1" applyFont="1" applyFill="1" applyBorder="1" applyAlignment="1">
      <alignment horizontal="right" vertical="center" wrapText="1"/>
    </xf>
    <xf numFmtId="0" fontId="16" fillId="6" borderId="1" xfId="0" applyNumberFormat="1" applyFont="1" applyFill="1" applyBorder="1" applyAlignment="1">
      <alignment vertical="top" wrapText="1"/>
    </xf>
    <xf numFmtId="168" fontId="16" fillId="6" borderId="1" xfId="4" applyNumberFormat="1" applyFont="1" applyFill="1" applyBorder="1" applyAlignment="1">
      <alignment horizontal="right" vertical="center" wrapText="1"/>
    </xf>
    <xf numFmtId="168" fontId="10" fillId="6" borderId="1" xfId="4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20" fillId="6" borderId="1" xfId="0" applyNumberFormat="1" applyFont="1" applyFill="1" applyBorder="1" applyAlignment="1">
      <alignment vertical="top" wrapText="1"/>
    </xf>
    <xf numFmtId="0" fontId="18" fillId="6" borderId="1" xfId="0" applyFont="1" applyFill="1" applyBorder="1" applyAlignment="1">
      <alignment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wrapText="1"/>
    </xf>
    <xf numFmtId="166" fontId="20" fillId="6" borderId="1" xfId="4" applyNumberFormat="1" applyFont="1" applyFill="1" applyBorder="1" applyAlignment="1">
      <alignment horizontal="right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166" fontId="16" fillId="6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167" fontId="6" fillId="6" borderId="1" xfId="4" applyNumberFormat="1" applyFont="1" applyFill="1" applyBorder="1" applyAlignment="1">
      <alignment horizontal="right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vertical="top" wrapText="1"/>
    </xf>
    <xf numFmtId="167" fontId="10" fillId="6" borderId="1" xfId="4" applyNumberFormat="1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vertical="top" wrapText="1"/>
    </xf>
    <xf numFmtId="0" fontId="18" fillId="6" borderId="1" xfId="0" applyNumberFormat="1" applyFont="1" applyFill="1" applyBorder="1" applyAlignment="1">
      <alignment vertical="top" wrapText="1"/>
    </xf>
    <xf numFmtId="166" fontId="22" fillId="6" borderId="1" xfId="0" applyNumberFormat="1" applyFont="1" applyFill="1" applyBorder="1" applyAlignment="1">
      <alignment vertical="top" wrapText="1"/>
    </xf>
    <xf numFmtId="166" fontId="16" fillId="6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14" fillId="6" borderId="0" xfId="0" applyFont="1" applyFill="1"/>
    <xf numFmtId="0" fontId="0" fillId="6" borderId="0" xfId="0" applyFill="1"/>
    <xf numFmtId="49" fontId="20" fillId="7" borderId="1" xfId="0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167" fontId="30" fillId="7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horizontal="center" vertical="top" wrapText="1"/>
    </xf>
    <xf numFmtId="0" fontId="16" fillId="6" borderId="1" xfId="0" applyNumberFormat="1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167" fontId="20" fillId="7" borderId="1" xfId="4" applyNumberFormat="1" applyFont="1" applyFill="1" applyBorder="1" applyAlignment="1">
      <alignment horizontal="right" vertical="center" wrapText="1"/>
    </xf>
    <xf numFmtId="49" fontId="20" fillId="8" borderId="1" xfId="0" applyNumberFormat="1" applyFont="1" applyFill="1" applyBorder="1" applyAlignment="1">
      <alignment vertical="top" wrapText="1"/>
    </xf>
    <xf numFmtId="49" fontId="20" fillId="8" borderId="1" xfId="0" applyNumberFormat="1" applyFont="1" applyFill="1" applyBorder="1" applyAlignment="1">
      <alignment horizontal="center" vertical="center" wrapText="1"/>
    </xf>
    <xf numFmtId="168" fontId="20" fillId="8" borderId="1" xfId="4" applyNumberFormat="1" applyFont="1" applyFill="1" applyBorder="1" applyAlignment="1">
      <alignment horizontal="right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166" fontId="20" fillId="8" borderId="1" xfId="4" applyNumberFormat="1" applyFont="1" applyFill="1" applyBorder="1" applyAlignment="1">
      <alignment horizontal="right" vertical="center" wrapText="1"/>
    </xf>
    <xf numFmtId="167" fontId="20" fillId="8" borderId="1" xfId="4" applyNumberFormat="1" applyFont="1" applyFill="1" applyBorder="1" applyAlignment="1">
      <alignment horizontal="righ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6" fontId="20" fillId="7" borderId="1" xfId="4" applyNumberFormat="1" applyFont="1" applyFill="1" applyBorder="1" applyAlignment="1">
      <alignment horizontal="right" vertical="center" wrapText="1"/>
    </xf>
    <xf numFmtId="0" fontId="20" fillId="7" borderId="1" xfId="0" applyNumberFormat="1" applyFont="1" applyFill="1" applyBorder="1" applyAlignment="1">
      <alignment vertical="top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26" fillId="7" borderId="1" xfId="0" applyNumberFormat="1" applyFont="1" applyFill="1" applyBorder="1" applyAlignment="1">
      <alignment vertical="top" wrapText="1"/>
    </xf>
    <xf numFmtId="167" fontId="5" fillId="3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vertical="top" wrapText="1"/>
    </xf>
    <xf numFmtId="166" fontId="11" fillId="6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2" fillId="6" borderId="0" xfId="0" applyFont="1" applyFill="1"/>
    <xf numFmtId="0" fontId="15" fillId="6" borderId="0" xfId="0" applyFont="1" applyFill="1"/>
    <xf numFmtId="0" fontId="0" fillId="0" borderId="0" xfId="0" applyAlignment="1">
      <alignment horizontal="right"/>
    </xf>
    <xf numFmtId="49" fontId="10" fillId="3" borderId="1" xfId="0" applyNumberFormat="1" applyFont="1" applyFill="1" applyBorder="1" applyAlignment="1">
      <alignment horizontal="center" vertical="center" wrapText="1"/>
    </xf>
    <xf numFmtId="166" fontId="18" fillId="6" borderId="1" xfId="4" applyNumberFormat="1" applyFont="1" applyFill="1" applyBorder="1" applyAlignment="1">
      <alignment horizontal="right" vertical="center" wrapText="1"/>
    </xf>
    <xf numFmtId="166" fontId="18" fillId="0" borderId="1" xfId="4" applyNumberFormat="1" applyFont="1" applyFill="1" applyBorder="1" applyAlignment="1">
      <alignment horizontal="right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wrapText="1"/>
    </xf>
    <xf numFmtId="168" fontId="17" fillId="6" borderId="1" xfId="4" applyNumberFormat="1" applyFont="1" applyFill="1" applyBorder="1" applyAlignment="1">
      <alignment horizontal="right" vertical="center" wrapText="1"/>
    </xf>
    <xf numFmtId="0" fontId="17" fillId="0" borderId="1" xfId="0" applyNumberFormat="1" applyFont="1" applyFill="1" applyBorder="1" applyAlignment="1">
      <alignment vertical="top" wrapText="1"/>
    </xf>
    <xf numFmtId="49" fontId="10" fillId="10" borderId="1" xfId="0" applyNumberFormat="1" applyFont="1" applyFill="1" applyBorder="1" applyAlignment="1">
      <alignment vertical="top" wrapText="1"/>
    </xf>
    <xf numFmtId="169" fontId="10" fillId="6" borderId="1" xfId="4" applyNumberFormat="1" applyFont="1" applyFill="1" applyBorder="1" applyAlignment="1">
      <alignment horizontal="right" vertical="center" wrapText="1"/>
    </xf>
    <xf numFmtId="170" fontId="10" fillId="6" borderId="1" xfId="4" applyNumberFormat="1" applyFont="1" applyFill="1" applyBorder="1" applyAlignment="1">
      <alignment horizontal="right" vertical="center" wrapText="1"/>
    </xf>
    <xf numFmtId="170" fontId="16" fillId="6" borderId="1" xfId="4" applyNumberFormat="1" applyFont="1" applyFill="1" applyBorder="1" applyAlignment="1">
      <alignment horizontal="right" vertical="center" wrapText="1"/>
    </xf>
    <xf numFmtId="170" fontId="17" fillId="6" borderId="1" xfId="4" applyNumberFormat="1" applyFont="1" applyFill="1" applyBorder="1" applyAlignment="1">
      <alignment horizontal="right" vertical="center" wrapText="1"/>
    </xf>
    <xf numFmtId="170" fontId="11" fillId="6" borderId="1" xfId="4" applyNumberFormat="1" applyFont="1" applyFill="1" applyBorder="1" applyAlignment="1">
      <alignment horizontal="right" vertical="center" wrapText="1"/>
    </xf>
    <xf numFmtId="170" fontId="20" fillId="6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6" fontId="5" fillId="0" borderId="0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9" fillId="0" borderId="1" xfId="4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3" fontId="6" fillId="0" borderId="1" xfId="4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5" fillId="0" borderId="1" xfId="0" applyFont="1" applyFill="1" applyBorder="1" applyAlignment="1">
      <alignment horizontal="center" vertical="center" wrapText="1"/>
    </xf>
    <xf numFmtId="166" fontId="9" fillId="0" borderId="1" xfId="4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49" fontId="9" fillId="11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shrinkToFit="1"/>
    </xf>
    <xf numFmtId="166" fontId="9" fillId="0" borderId="1" xfId="4" applyNumberFormat="1" applyFont="1" applyFill="1" applyBorder="1" applyAlignment="1">
      <alignment horizontal="right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right" vertical="center" wrapText="1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166" fontId="9" fillId="3" borderId="1" xfId="4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49" fontId="9" fillId="3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top" wrapText="1"/>
    </xf>
    <xf numFmtId="0" fontId="9" fillId="11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3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center" wrapText="1"/>
    </xf>
    <xf numFmtId="49" fontId="35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wrapText="1"/>
    </xf>
    <xf numFmtId="0" fontId="35" fillId="0" borderId="0" xfId="0" applyFont="1" applyAlignment="1">
      <alignment wrapText="1"/>
    </xf>
    <xf numFmtId="0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wrapText="1"/>
    </xf>
    <xf numFmtId="0" fontId="36" fillId="0" borderId="0" xfId="0" applyFont="1" applyFill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43" fontId="20" fillId="8" borderId="1" xfId="4" applyNumberFormat="1" applyFont="1" applyFill="1" applyBorder="1" applyAlignment="1">
      <alignment horizontal="right" vertical="center" wrapText="1"/>
    </xf>
    <xf numFmtId="43" fontId="16" fillId="6" borderId="1" xfId="4" applyNumberFormat="1" applyFont="1" applyFill="1" applyBorder="1" applyAlignment="1">
      <alignment horizontal="right" vertical="center" wrapText="1"/>
    </xf>
    <xf numFmtId="43" fontId="10" fillId="6" borderId="1" xfId="4" applyNumberFormat="1" applyFont="1" applyFill="1" applyBorder="1" applyAlignment="1">
      <alignment horizontal="right" vertical="center" wrapText="1"/>
    </xf>
    <xf numFmtId="43" fontId="20" fillId="6" borderId="1" xfId="4" applyNumberFormat="1" applyFont="1" applyFill="1" applyBorder="1" applyAlignment="1">
      <alignment horizontal="right" vertical="center" wrapText="1"/>
    </xf>
    <xf numFmtId="169" fontId="16" fillId="6" borderId="1" xfId="4" applyNumberFormat="1" applyFont="1" applyFill="1" applyBorder="1" applyAlignment="1">
      <alignment horizontal="right" vertical="center" wrapText="1"/>
    </xf>
    <xf numFmtId="169" fontId="17" fillId="6" borderId="1" xfId="4" applyNumberFormat="1" applyFont="1" applyFill="1" applyBorder="1" applyAlignment="1">
      <alignment horizontal="right"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169" fontId="16" fillId="0" borderId="1" xfId="4" applyNumberFormat="1" applyFont="1" applyFill="1" applyBorder="1" applyAlignment="1">
      <alignment horizontal="right" vertical="center" wrapText="1"/>
    </xf>
    <xf numFmtId="43" fontId="20" fillId="7" borderId="1" xfId="4" applyNumberFormat="1" applyFont="1" applyFill="1" applyBorder="1" applyAlignment="1">
      <alignment horizontal="right" vertical="center" wrapText="1"/>
    </xf>
    <xf numFmtId="43" fontId="16" fillId="0" borderId="1" xfId="4" applyNumberFormat="1" applyFont="1" applyFill="1" applyBorder="1" applyAlignment="1">
      <alignment horizontal="right" vertical="center" wrapText="1"/>
    </xf>
    <xf numFmtId="43" fontId="10" fillId="0" borderId="1" xfId="4" applyNumberFormat="1" applyFont="1" applyFill="1" applyBorder="1" applyAlignment="1">
      <alignment horizontal="right" vertical="center" wrapText="1"/>
    </xf>
    <xf numFmtId="49" fontId="20" fillId="12" borderId="1" xfId="0" applyNumberFormat="1" applyFont="1" applyFill="1" applyBorder="1" applyAlignment="1">
      <alignment vertical="top" wrapText="1"/>
    </xf>
    <xf numFmtId="49" fontId="20" fillId="12" borderId="1" xfId="0" applyNumberFormat="1" applyFont="1" applyFill="1" applyBorder="1" applyAlignment="1">
      <alignment horizontal="center" vertical="center" wrapText="1"/>
    </xf>
    <xf numFmtId="49" fontId="19" fillId="12" borderId="1" xfId="0" applyNumberFormat="1" applyFont="1" applyFill="1" applyBorder="1" applyAlignment="1">
      <alignment horizontal="center" vertical="center" wrapText="1"/>
    </xf>
    <xf numFmtId="167" fontId="20" fillId="12" borderId="1" xfId="4" applyNumberFormat="1" applyFont="1" applyFill="1" applyBorder="1" applyAlignment="1">
      <alignment horizontal="right" vertical="center" wrapText="1"/>
    </xf>
    <xf numFmtId="169" fontId="20" fillId="6" borderId="1" xfId="4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1" fillId="0" borderId="0" xfId="0" applyFont="1" applyFill="1"/>
    <xf numFmtId="168" fontId="16" fillId="6" borderId="1" xfId="0" applyNumberFormat="1" applyFont="1" applyFill="1" applyBorder="1" applyAlignment="1">
      <alignment horizontal="right" vertical="center" wrapText="1"/>
    </xf>
    <xf numFmtId="166" fontId="16" fillId="6" borderId="1" xfId="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66" fontId="10" fillId="0" borderId="1" xfId="4" applyNumberFormat="1" applyFont="1" applyFill="1" applyBorder="1" applyAlignment="1">
      <alignment horizontal="center" vertical="center" wrapText="1"/>
    </xf>
    <xf numFmtId="166" fontId="16" fillId="0" borderId="1" xfId="4" applyNumberFormat="1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/>
    </xf>
    <xf numFmtId="166" fontId="10" fillId="6" borderId="1" xfId="4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166" fontId="17" fillId="6" borderId="1" xfId="4" applyNumberFormat="1" applyFont="1" applyFill="1" applyBorder="1" applyAlignment="1">
      <alignment horizontal="center" vertical="center" wrapText="1"/>
    </xf>
    <xf numFmtId="168" fontId="17" fillId="6" borderId="1" xfId="0" applyNumberFormat="1" applyFont="1" applyFill="1" applyBorder="1" applyAlignment="1">
      <alignment horizontal="right" vertical="center" wrapText="1"/>
    </xf>
    <xf numFmtId="166" fontId="10" fillId="9" borderId="1" xfId="4" applyNumberFormat="1" applyFont="1" applyFill="1" applyBorder="1" applyAlignment="1">
      <alignment horizontal="center" vertical="center" wrapText="1"/>
    </xf>
    <xf numFmtId="166" fontId="16" fillId="9" borderId="1" xfId="4" applyNumberFormat="1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168" fontId="8" fillId="13" borderId="1" xfId="0" applyNumberFormat="1" applyFont="1" applyFill="1" applyBorder="1" applyAlignment="1">
      <alignment horizontal="right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vertical="top" wrapText="1"/>
    </xf>
    <xf numFmtId="168" fontId="6" fillId="13" borderId="1" xfId="0" applyNumberFormat="1" applyFont="1" applyFill="1" applyBorder="1" applyAlignment="1">
      <alignment horizontal="right" vertical="center" wrapText="1"/>
    </xf>
    <xf numFmtId="166" fontId="6" fillId="13" borderId="1" xfId="4" applyNumberFormat="1" applyFont="1" applyFill="1" applyBorder="1" applyAlignment="1">
      <alignment horizontal="right" vertical="center" wrapText="1"/>
    </xf>
    <xf numFmtId="1" fontId="6" fillId="13" borderId="1" xfId="0" applyNumberFormat="1" applyFont="1" applyFill="1" applyBorder="1" applyAlignment="1">
      <alignment horizontal="center" vertical="center" wrapText="1"/>
    </xf>
    <xf numFmtId="170" fontId="6" fillId="13" borderId="1" xfId="4" applyNumberFormat="1" applyFont="1" applyFill="1" applyBorder="1" applyAlignment="1">
      <alignment horizontal="right" vertical="center" wrapText="1"/>
    </xf>
    <xf numFmtId="0" fontId="8" fillId="13" borderId="1" xfId="0" applyFont="1" applyFill="1" applyBorder="1" applyAlignment="1">
      <alignment vertical="center" wrapText="1"/>
    </xf>
    <xf numFmtId="166" fontId="5" fillId="2" borderId="1" xfId="4" applyNumberFormat="1" applyFont="1" applyFill="1" applyBorder="1" applyAlignment="1">
      <alignment horizontal="left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10" fillId="0" borderId="0" xfId="0" applyNumberFormat="1" applyFont="1" applyFill="1" applyBorder="1" applyAlignment="1">
      <alignment vertical="top" wrapText="1"/>
    </xf>
    <xf numFmtId="167" fontId="10" fillId="0" borderId="0" xfId="4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/>
    <xf numFmtId="168" fontId="4" fillId="0" borderId="2" xfId="4" applyNumberFormat="1" applyFont="1" applyBorder="1" applyAlignment="1">
      <alignment horizontal="right"/>
    </xf>
    <xf numFmtId="166" fontId="4" fillId="0" borderId="2" xfId="4" applyNumberFormat="1" applyFont="1" applyBorder="1" applyAlignment="1">
      <alignment horizontal="right"/>
    </xf>
    <xf numFmtId="0" fontId="25" fillId="0" borderId="0" xfId="0" applyNumberFormat="1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0" fontId="24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B8CCE4"/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31"/>
  <sheetViews>
    <sheetView view="pageBreakPreview" zoomScale="120" zoomScaleNormal="100" workbookViewId="0">
      <selection activeCell="A124" sqref="A124"/>
    </sheetView>
  </sheetViews>
  <sheetFormatPr defaultRowHeight="12.75" x14ac:dyDescent="0.2"/>
  <cols>
    <col min="1" max="1" width="54.28515625" customWidth="1"/>
    <col min="2" max="2" width="9.7109375" customWidth="1"/>
    <col min="3" max="3" width="26.7109375" customWidth="1"/>
    <col min="4" max="4" width="16.140625" customWidth="1"/>
  </cols>
  <sheetData>
    <row r="1" spans="1:4" ht="15.75" x14ac:dyDescent="0.25">
      <c r="A1" s="335" t="s">
        <v>881</v>
      </c>
      <c r="B1" s="335"/>
      <c r="C1" s="335"/>
      <c r="D1" s="335"/>
    </row>
    <row r="2" spans="1:4" ht="15.75" x14ac:dyDescent="0.25">
      <c r="A2" s="335" t="s">
        <v>754</v>
      </c>
      <c r="B2" s="335"/>
      <c r="C2" s="335"/>
      <c r="D2" s="335"/>
    </row>
    <row r="3" spans="1:4" ht="15.75" x14ac:dyDescent="0.25">
      <c r="A3" s="335" t="s">
        <v>882</v>
      </c>
      <c r="B3" s="335"/>
      <c r="C3" s="335"/>
      <c r="D3" s="335"/>
    </row>
    <row r="4" spans="1:4" ht="15.75" x14ac:dyDescent="0.25">
      <c r="A4" s="302"/>
      <c r="B4" s="302"/>
      <c r="C4" s="302"/>
      <c r="D4" s="302"/>
    </row>
    <row r="5" spans="1:4" ht="15.75" x14ac:dyDescent="0.25">
      <c r="A5" s="336" t="s">
        <v>880</v>
      </c>
      <c r="B5" s="336"/>
      <c r="C5" s="336"/>
      <c r="D5" s="336"/>
    </row>
    <row r="6" spans="1:4" ht="15.75" x14ac:dyDescent="0.25">
      <c r="A6" s="336" t="s">
        <v>898</v>
      </c>
      <c r="B6" s="336"/>
      <c r="C6" s="336"/>
      <c r="D6" s="336"/>
    </row>
    <row r="7" spans="1:4" ht="15.75" x14ac:dyDescent="0.25">
      <c r="A7" s="337" t="s">
        <v>879</v>
      </c>
      <c r="B7" s="337"/>
      <c r="C7" s="337"/>
      <c r="D7" s="337"/>
    </row>
    <row r="8" spans="1:4" ht="18.75" x14ac:dyDescent="0.3">
      <c r="A8" s="280"/>
      <c r="B8" s="279"/>
      <c r="C8" s="278"/>
      <c r="D8" s="277"/>
    </row>
    <row r="9" spans="1:4" ht="18.75" x14ac:dyDescent="0.3">
      <c r="A9" s="276"/>
      <c r="B9" s="275"/>
      <c r="C9" s="274"/>
      <c r="D9" s="273" t="s">
        <v>456</v>
      </c>
    </row>
    <row r="10" spans="1:4" ht="15.75" x14ac:dyDescent="0.2">
      <c r="A10" s="332" t="s">
        <v>878</v>
      </c>
      <c r="B10" s="333" t="s">
        <v>877</v>
      </c>
      <c r="C10" s="333"/>
      <c r="D10" s="334" t="s">
        <v>888</v>
      </c>
    </row>
    <row r="11" spans="1:4" ht="63" x14ac:dyDescent="0.2">
      <c r="A11" s="332"/>
      <c r="B11" s="301" t="s">
        <v>876</v>
      </c>
      <c r="C11" s="301" t="s">
        <v>875</v>
      </c>
      <c r="D11" s="334"/>
    </row>
    <row r="12" spans="1:4" ht="31.5" x14ac:dyDescent="0.2">
      <c r="A12" s="27" t="s">
        <v>874</v>
      </c>
      <c r="B12" s="20" t="s">
        <v>873</v>
      </c>
      <c r="C12" s="272"/>
      <c r="D12" s="222">
        <f>D13+D14+D15</f>
        <v>4239.9854500000001</v>
      </c>
    </row>
    <row r="13" spans="1:4" ht="31.5" x14ac:dyDescent="0.2">
      <c r="A13" s="252" t="s">
        <v>16</v>
      </c>
      <c r="B13" s="234"/>
      <c r="C13" s="248" t="s">
        <v>872</v>
      </c>
      <c r="D13" s="96">
        <v>3675.6518700000001</v>
      </c>
    </row>
    <row r="14" spans="1:4" ht="78" customHeight="1" x14ac:dyDescent="0.2">
      <c r="A14" s="252" t="s">
        <v>899</v>
      </c>
      <c r="B14" s="234"/>
      <c r="C14" s="15" t="s">
        <v>900</v>
      </c>
      <c r="D14" s="96">
        <v>555.98357999999996</v>
      </c>
    </row>
    <row r="15" spans="1:4" ht="78" customHeight="1" x14ac:dyDescent="0.2">
      <c r="A15" s="261" t="s">
        <v>899</v>
      </c>
      <c r="B15" s="259"/>
      <c r="C15" s="15" t="s">
        <v>901</v>
      </c>
      <c r="D15" s="258">
        <v>8.35</v>
      </c>
    </row>
    <row r="16" spans="1:4" ht="15.75" x14ac:dyDescent="0.2">
      <c r="A16" s="27" t="s">
        <v>871</v>
      </c>
      <c r="B16" s="20" t="s">
        <v>870</v>
      </c>
      <c r="C16" s="20"/>
      <c r="D16" s="222">
        <f>D17</f>
        <v>17</v>
      </c>
    </row>
    <row r="17" spans="1:4" ht="78.75" x14ac:dyDescent="0.25">
      <c r="A17" s="252" t="s">
        <v>899</v>
      </c>
      <c r="B17" s="249"/>
      <c r="C17" s="248" t="s">
        <v>900</v>
      </c>
      <c r="D17" s="96">
        <v>17</v>
      </c>
    </row>
    <row r="18" spans="1:4" ht="31.5" x14ac:dyDescent="0.2">
      <c r="A18" s="27" t="s">
        <v>869</v>
      </c>
      <c r="B18" s="20" t="s">
        <v>868</v>
      </c>
      <c r="C18" s="20"/>
      <c r="D18" s="222">
        <f>D19</f>
        <v>352.27296000000001</v>
      </c>
    </row>
    <row r="19" spans="1:4" ht="78.75" x14ac:dyDescent="0.2">
      <c r="A19" s="252" t="s">
        <v>899</v>
      </c>
      <c r="B19" s="234"/>
      <c r="C19" s="248" t="s">
        <v>900</v>
      </c>
      <c r="D19" s="96">
        <v>352.27296000000001</v>
      </c>
    </row>
    <row r="20" spans="1:4" ht="47.25" x14ac:dyDescent="0.2">
      <c r="A20" s="27" t="s">
        <v>867</v>
      </c>
      <c r="B20" s="20" t="s">
        <v>866</v>
      </c>
      <c r="C20" s="20"/>
      <c r="D20" s="222">
        <f>D21</f>
        <v>484.30290000000002</v>
      </c>
    </row>
    <row r="21" spans="1:4" ht="78.75" x14ac:dyDescent="0.25">
      <c r="A21" s="250" t="s">
        <v>899</v>
      </c>
      <c r="B21" s="249"/>
      <c r="C21" s="248" t="s">
        <v>900</v>
      </c>
      <c r="D21" s="96">
        <v>484.30290000000002</v>
      </c>
    </row>
    <row r="22" spans="1:4" ht="15.75" x14ac:dyDescent="0.2">
      <c r="A22" s="27" t="s">
        <v>865</v>
      </c>
      <c r="B22" s="223">
        <v>100</v>
      </c>
      <c r="C22" s="20"/>
      <c r="D22" s="222">
        <f>D23+D24+D25+D26</f>
        <v>17432.17078</v>
      </c>
    </row>
    <row r="23" spans="1:4" ht="94.5" x14ac:dyDescent="0.25">
      <c r="A23" s="252" t="s">
        <v>864</v>
      </c>
      <c r="B23" s="249"/>
      <c r="C23" s="255" t="s">
        <v>863</v>
      </c>
      <c r="D23" s="96">
        <v>8040.3752699999995</v>
      </c>
    </row>
    <row r="24" spans="1:4" ht="110.25" x14ac:dyDescent="0.25">
      <c r="A24" s="252" t="s">
        <v>862</v>
      </c>
      <c r="B24" s="249"/>
      <c r="C24" s="255" t="s">
        <v>861</v>
      </c>
      <c r="D24" s="96">
        <v>57.510559999999998</v>
      </c>
    </row>
    <row r="25" spans="1:4" ht="94.5" x14ac:dyDescent="0.25">
      <c r="A25" s="252" t="s">
        <v>860</v>
      </c>
      <c r="B25" s="249"/>
      <c r="C25" s="255" t="s">
        <v>859</v>
      </c>
      <c r="D25" s="96">
        <v>10816.56378</v>
      </c>
    </row>
    <row r="26" spans="1:4" ht="94.5" x14ac:dyDescent="0.25">
      <c r="A26" s="252" t="s">
        <v>858</v>
      </c>
      <c r="B26" s="249"/>
      <c r="C26" s="255" t="s">
        <v>857</v>
      </c>
      <c r="D26" s="96">
        <v>-1482.27883</v>
      </c>
    </row>
    <row r="27" spans="1:4" ht="31.5" x14ac:dyDescent="0.2">
      <c r="A27" s="27" t="s">
        <v>856</v>
      </c>
      <c r="B27" s="20" t="s">
        <v>855</v>
      </c>
      <c r="C27" s="20"/>
      <c r="D27" s="222">
        <f>D28</f>
        <v>156.35410999999999</v>
      </c>
    </row>
    <row r="28" spans="1:4" ht="78.75" x14ac:dyDescent="0.2">
      <c r="A28" s="250" t="s">
        <v>899</v>
      </c>
      <c r="B28" s="234"/>
      <c r="C28" s="248" t="s">
        <v>900</v>
      </c>
      <c r="D28" s="96">
        <v>156.35410999999999</v>
      </c>
    </row>
    <row r="29" spans="1:4" ht="31.5" x14ac:dyDescent="0.2">
      <c r="A29" s="27" t="s">
        <v>854</v>
      </c>
      <c r="B29" s="20" t="s">
        <v>853</v>
      </c>
      <c r="C29" s="20"/>
      <c r="D29" s="222">
        <f>D30</f>
        <v>228.85560000000001</v>
      </c>
    </row>
    <row r="30" spans="1:4" ht="78.75" x14ac:dyDescent="0.2">
      <c r="A30" s="250" t="s">
        <v>899</v>
      </c>
      <c r="B30" s="301"/>
      <c r="C30" s="248" t="s">
        <v>900</v>
      </c>
      <c r="D30" s="96">
        <v>228.85560000000001</v>
      </c>
    </row>
    <row r="31" spans="1:4" ht="47.25" x14ac:dyDescent="0.2">
      <c r="A31" s="27" t="s">
        <v>852</v>
      </c>
      <c r="B31" s="223">
        <v>160</v>
      </c>
      <c r="C31" s="20"/>
      <c r="D31" s="222">
        <f>D32</f>
        <v>2642.9330599999998</v>
      </c>
    </row>
    <row r="32" spans="1:4" ht="78.75" x14ac:dyDescent="0.2">
      <c r="A32" s="250" t="s">
        <v>899</v>
      </c>
      <c r="B32" s="234"/>
      <c r="C32" s="248" t="s">
        <v>900</v>
      </c>
      <c r="D32" s="96">
        <v>2642.9330599999998</v>
      </c>
    </row>
    <row r="33" spans="1:4" ht="31.5" x14ac:dyDescent="0.2">
      <c r="A33" s="27" t="s">
        <v>851</v>
      </c>
      <c r="B33" s="20" t="s">
        <v>850</v>
      </c>
      <c r="C33" s="20"/>
      <c r="D33" s="222">
        <f>D34</f>
        <v>541.59730999999999</v>
      </c>
    </row>
    <row r="34" spans="1:4" ht="78.75" x14ac:dyDescent="0.2">
      <c r="A34" s="252" t="s">
        <v>899</v>
      </c>
      <c r="B34" s="234"/>
      <c r="C34" s="248" t="s">
        <v>900</v>
      </c>
      <c r="D34" s="96">
        <v>541.59730999999999</v>
      </c>
    </row>
    <row r="35" spans="1:4" ht="31.5" x14ac:dyDescent="0.2">
      <c r="A35" s="271" t="s">
        <v>849</v>
      </c>
      <c r="B35" s="20" t="s">
        <v>848</v>
      </c>
      <c r="C35" s="20"/>
      <c r="D35" s="222">
        <f>D36</f>
        <v>47</v>
      </c>
    </row>
    <row r="36" spans="1:4" ht="78.75" x14ac:dyDescent="0.2">
      <c r="A36" s="250" t="s">
        <v>899</v>
      </c>
      <c r="B36" s="234"/>
      <c r="C36" s="248" t="s">
        <v>900</v>
      </c>
      <c r="D36" s="96">
        <v>47</v>
      </c>
    </row>
    <row r="37" spans="1:4" ht="15.75" x14ac:dyDescent="0.2">
      <c r="A37" s="27" t="s">
        <v>847</v>
      </c>
      <c r="B37" s="20" t="s">
        <v>846</v>
      </c>
      <c r="C37" s="20"/>
      <c r="D37" s="222">
        <f>SUM(D38:D55)</f>
        <v>2139571.1802099999</v>
      </c>
    </row>
    <row r="38" spans="1:4" ht="94.5" x14ac:dyDescent="0.2">
      <c r="A38" s="252" t="s">
        <v>845</v>
      </c>
      <c r="B38" s="234"/>
      <c r="C38" s="255" t="s">
        <v>844</v>
      </c>
      <c r="D38" s="254">
        <v>1099906.43621</v>
      </c>
    </row>
    <row r="39" spans="1:4" ht="141.75" x14ac:dyDescent="0.2">
      <c r="A39" s="252" t="s">
        <v>843</v>
      </c>
      <c r="B39" s="234"/>
      <c r="C39" s="255" t="s">
        <v>842</v>
      </c>
      <c r="D39" s="254">
        <v>3531.4706099999999</v>
      </c>
    </row>
    <row r="40" spans="1:4" ht="63" x14ac:dyDescent="0.2">
      <c r="A40" s="252" t="s">
        <v>841</v>
      </c>
      <c r="B40" s="234"/>
      <c r="C40" s="255" t="s">
        <v>840</v>
      </c>
      <c r="D40" s="254">
        <v>5868.6958500000001</v>
      </c>
    </row>
    <row r="41" spans="1:4" ht="27.75" customHeight="1" x14ac:dyDescent="0.2">
      <c r="A41" s="252" t="s">
        <v>839</v>
      </c>
      <c r="B41" s="234"/>
      <c r="C41" s="253" t="s">
        <v>838</v>
      </c>
      <c r="D41" s="254">
        <v>346673.52123000001</v>
      </c>
    </row>
    <row r="42" spans="1:4" ht="44.25" customHeight="1" x14ac:dyDescent="0.2">
      <c r="A42" s="252" t="s">
        <v>837</v>
      </c>
      <c r="B42" s="234"/>
      <c r="C42" s="253" t="s">
        <v>836</v>
      </c>
      <c r="D42" s="254">
        <v>-54.555230000000002</v>
      </c>
    </row>
    <row r="43" spans="1:4" ht="47.25" x14ac:dyDescent="0.2">
      <c r="A43" s="252" t="s">
        <v>835</v>
      </c>
      <c r="B43" s="234"/>
      <c r="C43" s="253" t="s">
        <v>834</v>
      </c>
      <c r="D43" s="254">
        <v>182435.34252999999</v>
      </c>
    </row>
    <row r="44" spans="1:4" ht="63" x14ac:dyDescent="0.2">
      <c r="A44" s="252" t="s">
        <v>833</v>
      </c>
      <c r="B44" s="234"/>
      <c r="C44" s="253" t="s">
        <v>832</v>
      </c>
      <c r="D44" s="254">
        <v>57.021560000000001</v>
      </c>
    </row>
    <row r="45" spans="1:4" ht="31.5" x14ac:dyDescent="0.2">
      <c r="A45" s="252" t="s">
        <v>0</v>
      </c>
      <c r="B45" s="268"/>
      <c r="C45" s="253" t="s">
        <v>831</v>
      </c>
      <c r="D45" s="254">
        <v>79699.750169999999</v>
      </c>
    </row>
    <row r="46" spans="1:4" ht="47.25" x14ac:dyDescent="0.2">
      <c r="A46" s="252" t="s">
        <v>830</v>
      </c>
      <c r="B46" s="300"/>
      <c r="C46" s="253" t="s">
        <v>829</v>
      </c>
      <c r="D46" s="254">
        <v>70.907740000000004</v>
      </c>
    </row>
    <row r="47" spans="1:4" ht="15.75" x14ac:dyDescent="0.2">
      <c r="A47" s="252" t="s">
        <v>2</v>
      </c>
      <c r="B47" s="300"/>
      <c r="C47" s="253" t="s">
        <v>828</v>
      </c>
      <c r="D47" s="254">
        <v>8978.3116200000004</v>
      </c>
    </row>
    <row r="48" spans="1:4" ht="47.25" x14ac:dyDescent="0.2">
      <c r="A48" s="252" t="s">
        <v>827</v>
      </c>
      <c r="B48" s="300"/>
      <c r="C48" s="253" t="s">
        <v>826</v>
      </c>
      <c r="D48" s="254">
        <v>2786.3619100000001</v>
      </c>
    </row>
    <row r="49" spans="1:4" ht="47.25" x14ac:dyDescent="0.2">
      <c r="A49" s="252" t="s">
        <v>825</v>
      </c>
      <c r="B49" s="234"/>
      <c r="C49" s="253" t="s">
        <v>824</v>
      </c>
      <c r="D49" s="254">
        <v>68448.625199999995</v>
      </c>
    </row>
    <row r="50" spans="1:4" ht="31.5" x14ac:dyDescent="0.2">
      <c r="A50" s="252" t="s">
        <v>823</v>
      </c>
      <c r="B50" s="234"/>
      <c r="C50" s="255" t="s">
        <v>822</v>
      </c>
      <c r="D50" s="254">
        <v>92700.582370000004</v>
      </c>
    </row>
    <row r="51" spans="1:4" ht="47.25" x14ac:dyDescent="0.2">
      <c r="A51" s="252" t="s">
        <v>821</v>
      </c>
      <c r="B51" s="234"/>
      <c r="C51" s="253" t="s">
        <v>820</v>
      </c>
      <c r="D51" s="254">
        <v>150018.45848999999</v>
      </c>
    </row>
    <row r="52" spans="1:4" ht="47.25" x14ac:dyDescent="0.2">
      <c r="A52" s="252" t="s">
        <v>819</v>
      </c>
      <c r="B52" s="234"/>
      <c r="C52" s="253" t="s">
        <v>818</v>
      </c>
      <c r="D52" s="254">
        <v>40481.679089999998</v>
      </c>
    </row>
    <row r="53" spans="1:4" ht="60.75" customHeight="1" x14ac:dyDescent="0.2">
      <c r="A53" s="252" t="s">
        <v>902</v>
      </c>
      <c r="B53" s="234"/>
      <c r="C53" s="253" t="s">
        <v>817</v>
      </c>
      <c r="D53" s="254">
        <v>57378.474130000002</v>
      </c>
    </row>
    <row r="54" spans="1:4" ht="92.25" customHeight="1" x14ac:dyDescent="0.2">
      <c r="A54" s="269" t="s">
        <v>903</v>
      </c>
      <c r="B54" s="234"/>
      <c r="C54" s="248" t="s">
        <v>900</v>
      </c>
      <c r="D54" s="96">
        <v>-12.904170000000001</v>
      </c>
    </row>
    <row r="55" spans="1:4" ht="94.5" x14ac:dyDescent="0.2">
      <c r="A55" s="269" t="s">
        <v>903</v>
      </c>
      <c r="B55" s="234"/>
      <c r="C55" s="248" t="s">
        <v>904</v>
      </c>
      <c r="D55" s="96">
        <v>603.0009</v>
      </c>
    </row>
    <row r="56" spans="1:4" ht="18" customHeight="1" x14ac:dyDescent="0.2">
      <c r="A56" s="270" t="s">
        <v>816</v>
      </c>
      <c r="B56" s="20" t="s">
        <v>815</v>
      </c>
      <c r="C56" s="20"/>
      <c r="D56" s="222">
        <f>SUM(D57:D57)</f>
        <v>7729.4376000000002</v>
      </c>
    </row>
    <row r="57" spans="1:4" ht="78.75" x14ac:dyDescent="0.2">
      <c r="A57" s="269" t="s">
        <v>899</v>
      </c>
      <c r="B57" s="268"/>
      <c r="C57" s="248" t="s">
        <v>900</v>
      </c>
      <c r="D57" s="96">
        <v>7729.4376000000002</v>
      </c>
    </row>
    <row r="58" spans="1:4" ht="47.25" x14ac:dyDescent="0.2">
      <c r="A58" s="27" t="s">
        <v>814</v>
      </c>
      <c r="B58" s="20" t="s">
        <v>813</v>
      </c>
      <c r="C58" s="20"/>
      <c r="D58" s="222">
        <f>D59</f>
        <v>204.58423999999999</v>
      </c>
    </row>
    <row r="59" spans="1:4" ht="78.75" x14ac:dyDescent="0.2">
      <c r="A59" s="252" t="s">
        <v>899</v>
      </c>
      <c r="B59" s="234"/>
      <c r="C59" s="248" t="s">
        <v>900</v>
      </c>
      <c r="D59" s="96">
        <v>204.58423999999999</v>
      </c>
    </row>
    <row r="60" spans="1:4" ht="47.25" x14ac:dyDescent="0.2">
      <c r="A60" s="27" t="s">
        <v>812</v>
      </c>
      <c r="B60" s="20" t="s">
        <v>811</v>
      </c>
      <c r="C60" s="20"/>
      <c r="D60" s="222">
        <f>D61</f>
        <v>1504.8881899999999</v>
      </c>
    </row>
    <row r="61" spans="1:4" ht="78.75" x14ac:dyDescent="0.2">
      <c r="A61" s="250" t="s">
        <v>899</v>
      </c>
      <c r="B61" s="301"/>
      <c r="C61" s="248" t="s">
        <v>900</v>
      </c>
      <c r="D61" s="96">
        <v>1504.8881899999999</v>
      </c>
    </row>
    <row r="62" spans="1:4" ht="31.5" x14ac:dyDescent="0.2">
      <c r="A62" s="27" t="s">
        <v>452</v>
      </c>
      <c r="B62" s="20" t="s">
        <v>387</v>
      </c>
      <c r="C62" s="20"/>
      <c r="D62" s="222">
        <f>D63+D64+D65+D66+D67+D68+D69+D70</f>
        <v>43284.20132</v>
      </c>
    </row>
    <row r="63" spans="1:4" ht="31.5" x14ac:dyDescent="0.2">
      <c r="A63" s="252" t="s">
        <v>810</v>
      </c>
      <c r="B63" s="255"/>
      <c r="C63" s="255" t="s">
        <v>809</v>
      </c>
      <c r="D63" s="96">
        <v>288.13632000000001</v>
      </c>
    </row>
    <row r="64" spans="1:4" ht="94.5" x14ac:dyDescent="0.2">
      <c r="A64" s="252" t="s">
        <v>277</v>
      </c>
      <c r="B64" s="255"/>
      <c r="C64" s="255" t="s">
        <v>805</v>
      </c>
      <c r="D64" s="96">
        <v>10373.708720000001</v>
      </c>
    </row>
    <row r="65" spans="1:4" ht="61.5" customHeight="1" x14ac:dyDescent="0.2">
      <c r="A65" s="252" t="s">
        <v>905</v>
      </c>
      <c r="B65" s="234"/>
      <c r="C65" s="248" t="s">
        <v>906</v>
      </c>
      <c r="D65" s="254">
        <v>48.462000000000003</v>
      </c>
    </row>
    <row r="66" spans="1:4" ht="94.5" x14ac:dyDescent="0.2">
      <c r="A66" s="252" t="s">
        <v>907</v>
      </c>
      <c r="B66" s="234"/>
      <c r="C66" s="248" t="s">
        <v>908</v>
      </c>
      <c r="D66" s="96">
        <v>16494.904979999999</v>
      </c>
    </row>
    <row r="67" spans="1:4" ht="78.75" x14ac:dyDescent="0.2">
      <c r="A67" s="250" t="s">
        <v>909</v>
      </c>
      <c r="B67" s="234"/>
      <c r="C67" s="248" t="s">
        <v>910</v>
      </c>
      <c r="D67" s="96">
        <v>946.59250999999995</v>
      </c>
    </row>
    <row r="68" spans="1:4" ht="63" x14ac:dyDescent="0.2">
      <c r="A68" s="250" t="s">
        <v>911</v>
      </c>
      <c r="B68" s="234"/>
      <c r="C68" s="248" t="s">
        <v>912</v>
      </c>
      <c r="D68" s="96">
        <v>140.69150999999999</v>
      </c>
    </row>
    <row r="69" spans="1:4" ht="36" customHeight="1" x14ac:dyDescent="0.2">
      <c r="A69" s="267" t="s">
        <v>808</v>
      </c>
      <c r="B69" s="266"/>
      <c r="C69" s="255" t="s">
        <v>913</v>
      </c>
      <c r="D69" s="96">
        <v>311.85673000000003</v>
      </c>
    </row>
    <row r="70" spans="1:4" ht="36" customHeight="1" x14ac:dyDescent="0.2">
      <c r="A70" s="267" t="s">
        <v>914</v>
      </c>
      <c r="B70" s="266"/>
      <c r="C70" s="255" t="s">
        <v>807</v>
      </c>
      <c r="D70" s="96">
        <v>14679.848550000001</v>
      </c>
    </row>
    <row r="71" spans="1:4" s="329" customFormat="1" ht="30" customHeight="1" x14ac:dyDescent="0.2">
      <c r="A71" s="327" t="s">
        <v>915</v>
      </c>
      <c r="B71" s="328" t="s">
        <v>407</v>
      </c>
      <c r="C71" s="328"/>
      <c r="D71" s="222">
        <f>D72</f>
        <v>851.96267</v>
      </c>
    </row>
    <row r="72" spans="1:4" ht="94.5" x14ac:dyDescent="0.2">
      <c r="A72" s="252" t="s">
        <v>806</v>
      </c>
      <c r="B72" s="301"/>
      <c r="C72" s="248" t="s">
        <v>916</v>
      </c>
      <c r="D72" s="96">
        <v>851.96267</v>
      </c>
    </row>
    <row r="73" spans="1:4" ht="17.25" customHeight="1" x14ac:dyDescent="0.2">
      <c r="A73" s="27" t="s">
        <v>780</v>
      </c>
      <c r="B73" s="20" t="s">
        <v>409</v>
      </c>
      <c r="C73" s="20"/>
      <c r="D73" s="222">
        <f>D74+D75+D76+D77+D78+D79+D80+D81+D82+D83+D84+D85+D86+D87+D88+D89+D90+D91+D92+D93+D94+D95+D96+D97</f>
        <v>3129814.45829</v>
      </c>
    </row>
    <row r="74" spans="1:4" ht="31.5" x14ac:dyDescent="0.2">
      <c r="A74" s="267" t="s">
        <v>804</v>
      </c>
      <c r="B74" s="266"/>
      <c r="C74" s="255" t="s">
        <v>803</v>
      </c>
      <c r="D74" s="96">
        <v>1138.3887500000001</v>
      </c>
    </row>
    <row r="75" spans="1:4" ht="31.5" x14ac:dyDescent="0.2">
      <c r="A75" s="267" t="s">
        <v>802</v>
      </c>
      <c r="B75" s="266"/>
      <c r="C75" s="255" t="s">
        <v>801</v>
      </c>
      <c r="D75" s="96">
        <v>17864.821250000001</v>
      </c>
    </row>
    <row r="76" spans="1:4" ht="94.5" x14ac:dyDescent="0.2">
      <c r="A76" s="250" t="s">
        <v>800</v>
      </c>
      <c r="B76" s="234"/>
      <c r="C76" s="248" t="s">
        <v>917</v>
      </c>
      <c r="D76" s="96">
        <v>167744</v>
      </c>
    </row>
    <row r="77" spans="1:4" ht="78.75" x14ac:dyDescent="0.2">
      <c r="A77" s="250" t="s">
        <v>799</v>
      </c>
      <c r="B77" s="234"/>
      <c r="C77" s="248" t="s">
        <v>918</v>
      </c>
      <c r="D77" s="96">
        <v>82808</v>
      </c>
    </row>
    <row r="78" spans="1:4" ht="47.25" x14ac:dyDescent="0.2">
      <c r="A78" s="252" t="s">
        <v>895</v>
      </c>
      <c r="B78" s="234"/>
      <c r="C78" s="255" t="s">
        <v>919</v>
      </c>
      <c r="D78" s="96">
        <v>5635</v>
      </c>
    </row>
    <row r="79" spans="1:4" ht="111.75" customHeight="1" x14ac:dyDescent="0.2">
      <c r="A79" s="252" t="s">
        <v>719</v>
      </c>
      <c r="B79" s="300"/>
      <c r="C79" s="234" t="s">
        <v>920</v>
      </c>
      <c r="D79" s="96">
        <v>267129.685</v>
      </c>
    </row>
    <row r="80" spans="1:4" ht="111.75" customHeight="1" x14ac:dyDescent="0.2">
      <c r="A80" s="252" t="s">
        <v>734</v>
      </c>
      <c r="B80" s="300"/>
      <c r="C80" s="234" t="s">
        <v>921</v>
      </c>
      <c r="D80" s="96">
        <v>8362.3067200000005</v>
      </c>
    </row>
    <row r="81" spans="1:4" ht="48" customHeight="1" x14ac:dyDescent="0.2">
      <c r="A81" s="252" t="s">
        <v>700</v>
      </c>
      <c r="B81" s="300"/>
      <c r="C81" s="234" t="s">
        <v>922</v>
      </c>
      <c r="D81" s="96">
        <v>1711.5</v>
      </c>
    </row>
    <row r="82" spans="1:4" ht="94.5" customHeight="1" x14ac:dyDescent="0.2">
      <c r="A82" s="252" t="s">
        <v>694</v>
      </c>
      <c r="B82" s="300"/>
      <c r="C82" s="234" t="s">
        <v>923</v>
      </c>
      <c r="D82" s="96">
        <v>351.07499999999999</v>
      </c>
    </row>
    <row r="83" spans="1:4" ht="49.5" customHeight="1" x14ac:dyDescent="0.2">
      <c r="A83" s="252" t="s">
        <v>689</v>
      </c>
      <c r="B83" s="300"/>
      <c r="C83" s="234" t="s">
        <v>924</v>
      </c>
      <c r="D83" s="96">
        <v>30664.166990000002</v>
      </c>
    </row>
    <row r="84" spans="1:4" ht="31.5" x14ac:dyDescent="0.2">
      <c r="A84" s="252" t="s">
        <v>707</v>
      </c>
      <c r="B84" s="234"/>
      <c r="C84" s="234" t="s">
        <v>925</v>
      </c>
      <c r="D84" s="254">
        <v>69.892470000000003</v>
      </c>
    </row>
    <row r="85" spans="1:4" ht="45.75" customHeight="1" x14ac:dyDescent="0.2">
      <c r="A85" s="252" t="s">
        <v>714</v>
      </c>
      <c r="B85" s="234"/>
      <c r="C85" s="234" t="s">
        <v>926</v>
      </c>
      <c r="D85" s="254">
        <v>85917.979080000005</v>
      </c>
    </row>
    <row r="86" spans="1:4" ht="47.25" x14ac:dyDescent="0.2">
      <c r="A86" s="252" t="s">
        <v>756</v>
      </c>
      <c r="B86" s="234"/>
      <c r="C86" s="234" t="s">
        <v>927</v>
      </c>
      <c r="D86" s="254">
        <v>50000</v>
      </c>
    </row>
    <row r="87" spans="1:4" ht="94.5" x14ac:dyDescent="0.2">
      <c r="A87" s="261" t="s">
        <v>798</v>
      </c>
      <c r="B87" s="300"/>
      <c r="C87" s="259" t="s">
        <v>928</v>
      </c>
      <c r="D87" s="254">
        <v>718311.3</v>
      </c>
    </row>
    <row r="88" spans="1:4" ht="110.25" x14ac:dyDescent="0.2">
      <c r="A88" s="261" t="s">
        <v>797</v>
      </c>
      <c r="B88" s="300"/>
      <c r="C88" s="259" t="s">
        <v>929</v>
      </c>
      <c r="D88" s="96">
        <v>1039429.58</v>
      </c>
    </row>
    <row r="89" spans="1:4" ht="63" x14ac:dyDescent="0.2">
      <c r="A89" s="261" t="s">
        <v>180</v>
      </c>
      <c r="B89" s="234"/>
      <c r="C89" s="259" t="s">
        <v>930</v>
      </c>
      <c r="D89" s="96">
        <v>40003</v>
      </c>
    </row>
    <row r="90" spans="1:4" ht="63" x14ac:dyDescent="0.2">
      <c r="A90" s="261" t="s">
        <v>62</v>
      </c>
      <c r="B90" s="265"/>
      <c r="C90" s="259" t="s">
        <v>931</v>
      </c>
      <c r="D90" s="96">
        <v>2194</v>
      </c>
    </row>
    <row r="91" spans="1:4" ht="90.75" customHeight="1" x14ac:dyDescent="0.2">
      <c r="A91" s="261" t="s">
        <v>796</v>
      </c>
      <c r="B91" s="234"/>
      <c r="C91" s="259" t="s">
        <v>932</v>
      </c>
      <c r="D91" s="254">
        <v>11332.17</v>
      </c>
    </row>
    <row r="92" spans="1:4" ht="78.75" x14ac:dyDescent="0.2">
      <c r="A92" s="252" t="s">
        <v>749</v>
      </c>
      <c r="B92" s="234"/>
      <c r="C92" s="259" t="s">
        <v>933</v>
      </c>
      <c r="D92" s="254">
        <v>30993.929</v>
      </c>
    </row>
    <row r="93" spans="1:4" ht="78.75" x14ac:dyDescent="0.2">
      <c r="A93" s="252" t="s">
        <v>522</v>
      </c>
      <c r="B93" s="234"/>
      <c r="C93" s="259" t="s">
        <v>934</v>
      </c>
      <c r="D93" s="254">
        <v>487695.27600000001</v>
      </c>
    </row>
    <row r="94" spans="1:4" ht="47.25" x14ac:dyDescent="0.2">
      <c r="A94" s="250" t="s">
        <v>723</v>
      </c>
      <c r="B94" s="234"/>
      <c r="C94" s="264" t="s">
        <v>935</v>
      </c>
      <c r="D94" s="254">
        <v>836.02099999999996</v>
      </c>
    </row>
    <row r="95" spans="1:4" ht="78.75" x14ac:dyDescent="0.2">
      <c r="A95" s="250" t="s">
        <v>738</v>
      </c>
      <c r="B95" s="234"/>
      <c r="C95" s="264" t="s">
        <v>936</v>
      </c>
      <c r="D95" s="254">
        <v>27113.54</v>
      </c>
    </row>
    <row r="96" spans="1:4" ht="94.5" x14ac:dyDescent="0.2">
      <c r="A96" s="250" t="s">
        <v>746</v>
      </c>
      <c r="B96" s="234"/>
      <c r="C96" s="264" t="s">
        <v>937</v>
      </c>
      <c r="D96" s="254">
        <v>53059.27</v>
      </c>
    </row>
    <row r="97" spans="1:4" ht="63" x14ac:dyDescent="0.2">
      <c r="A97" s="250" t="s">
        <v>795</v>
      </c>
      <c r="B97" s="234"/>
      <c r="C97" s="253" t="s">
        <v>938</v>
      </c>
      <c r="D97" s="254">
        <v>-550.44296999999995</v>
      </c>
    </row>
    <row r="98" spans="1:4" ht="47.25" x14ac:dyDescent="0.2">
      <c r="A98" s="27" t="s">
        <v>794</v>
      </c>
      <c r="B98" s="263">
        <v>611</v>
      </c>
      <c r="C98" s="224"/>
      <c r="D98" s="262">
        <f>D99+D100+D101+D102+D103</f>
        <v>121506.22353999999</v>
      </c>
    </row>
    <row r="99" spans="1:4" ht="94.5" x14ac:dyDescent="0.2">
      <c r="A99" s="261" t="s">
        <v>793</v>
      </c>
      <c r="B99" s="260"/>
      <c r="C99" s="259" t="s">
        <v>792</v>
      </c>
      <c r="D99" s="258">
        <v>74889.692169999995</v>
      </c>
    </row>
    <row r="100" spans="1:4" ht="78.75" x14ac:dyDescent="0.2">
      <c r="A100" s="261" t="s">
        <v>791</v>
      </c>
      <c r="B100" s="260"/>
      <c r="C100" s="259" t="s">
        <v>790</v>
      </c>
      <c r="D100" s="258">
        <v>8204.8091499999991</v>
      </c>
    </row>
    <row r="101" spans="1:4" ht="63" x14ac:dyDescent="0.2">
      <c r="A101" s="261" t="s">
        <v>256</v>
      </c>
      <c r="B101" s="260"/>
      <c r="C101" s="255" t="s">
        <v>789</v>
      </c>
      <c r="D101" s="258">
        <v>226.7</v>
      </c>
    </row>
    <row r="102" spans="1:4" ht="110.25" x14ac:dyDescent="0.2">
      <c r="A102" s="261" t="s">
        <v>525</v>
      </c>
      <c r="B102" s="260"/>
      <c r="C102" s="259" t="s">
        <v>788</v>
      </c>
      <c r="D102" s="258">
        <v>13517.4432</v>
      </c>
    </row>
    <row r="103" spans="1:4" ht="63" x14ac:dyDescent="0.2">
      <c r="A103" s="261" t="s">
        <v>20</v>
      </c>
      <c r="B103" s="260"/>
      <c r="C103" s="259" t="s">
        <v>787</v>
      </c>
      <c r="D103" s="258">
        <v>24667.579020000001</v>
      </c>
    </row>
    <row r="104" spans="1:4" ht="63" x14ac:dyDescent="0.2">
      <c r="A104" s="27" t="s">
        <v>786</v>
      </c>
      <c r="B104" s="223">
        <v>752</v>
      </c>
      <c r="C104" s="257"/>
      <c r="D104" s="256">
        <f>D105</f>
        <v>1427</v>
      </c>
    </row>
    <row r="105" spans="1:4" ht="94.5" x14ac:dyDescent="0.2">
      <c r="A105" s="252" t="s">
        <v>785</v>
      </c>
      <c r="B105" s="234"/>
      <c r="C105" s="255" t="s">
        <v>784</v>
      </c>
      <c r="D105" s="254">
        <v>1427</v>
      </c>
    </row>
    <row r="106" spans="1:4" ht="35.25" customHeight="1" x14ac:dyDescent="0.2">
      <c r="A106" s="27" t="s">
        <v>939</v>
      </c>
      <c r="B106" s="20" t="s">
        <v>940</v>
      </c>
      <c r="C106" s="20"/>
      <c r="D106" s="222">
        <f>D107+D108+D109+D110+D111+D112+D113+D114+D115+D116+D117+D118</f>
        <v>724.25050999999996</v>
      </c>
    </row>
    <row r="107" spans="1:4" ht="93.75" customHeight="1" x14ac:dyDescent="0.25">
      <c r="A107" s="252" t="s">
        <v>941</v>
      </c>
      <c r="B107" s="249"/>
      <c r="C107" s="248" t="s">
        <v>942</v>
      </c>
      <c r="D107" s="96">
        <v>89.755849999999995</v>
      </c>
    </row>
    <row r="108" spans="1:4" ht="96.75" customHeight="1" x14ac:dyDescent="0.2">
      <c r="A108" s="252" t="s">
        <v>941</v>
      </c>
      <c r="B108" s="253"/>
      <c r="C108" s="253" t="s">
        <v>943</v>
      </c>
      <c r="D108" s="96">
        <v>10</v>
      </c>
    </row>
    <row r="109" spans="1:4" ht="130.5" customHeight="1" x14ac:dyDescent="0.25">
      <c r="A109" s="252" t="s">
        <v>944</v>
      </c>
      <c r="B109" s="249"/>
      <c r="C109" s="248" t="s">
        <v>945</v>
      </c>
      <c r="D109" s="96">
        <v>71</v>
      </c>
    </row>
    <row r="110" spans="1:4" ht="93" customHeight="1" x14ac:dyDescent="0.25">
      <c r="A110" s="252" t="s">
        <v>946</v>
      </c>
      <c r="B110" s="249"/>
      <c r="C110" s="248" t="s">
        <v>947</v>
      </c>
      <c r="D110" s="96">
        <v>10.15</v>
      </c>
    </row>
    <row r="111" spans="1:4" ht="110.25" x14ac:dyDescent="0.25">
      <c r="A111" s="252" t="s">
        <v>948</v>
      </c>
      <c r="B111" s="249"/>
      <c r="C111" s="248" t="s">
        <v>949</v>
      </c>
      <c r="D111" s="96">
        <v>4.5</v>
      </c>
    </row>
    <row r="112" spans="1:4" ht="110.25" x14ac:dyDescent="0.25">
      <c r="A112" s="252" t="s">
        <v>950</v>
      </c>
      <c r="B112" s="249"/>
      <c r="C112" s="248" t="s">
        <v>951</v>
      </c>
      <c r="D112" s="96">
        <v>23.45</v>
      </c>
    </row>
    <row r="113" spans="1:4" ht="110.25" x14ac:dyDescent="0.25">
      <c r="A113" s="252" t="s">
        <v>952</v>
      </c>
      <c r="B113" s="249"/>
      <c r="C113" s="248" t="s">
        <v>953</v>
      </c>
      <c r="D113" s="96">
        <v>5</v>
      </c>
    </row>
    <row r="114" spans="1:4" ht="126" x14ac:dyDescent="0.25">
      <c r="A114" s="252" t="s">
        <v>954</v>
      </c>
      <c r="B114" s="249"/>
      <c r="C114" s="248" t="s">
        <v>955</v>
      </c>
      <c r="D114" s="96">
        <v>268.39999999999998</v>
      </c>
    </row>
    <row r="115" spans="1:4" ht="146.25" customHeight="1" x14ac:dyDescent="0.25">
      <c r="A115" s="252" t="s">
        <v>956</v>
      </c>
      <c r="B115" s="249"/>
      <c r="C115" s="248" t="s">
        <v>957</v>
      </c>
      <c r="D115" s="96">
        <v>82.73</v>
      </c>
    </row>
    <row r="116" spans="1:4" ht="110.25" x14ac:dyDescent="0.25">
      <c r="A116" s="252" t="s">
        <v>958</v>
      </c>
      <c r="B116" s="249"/>
      <c r="C116" s="248" t="s">
        <v>959</v>
      </c>
      <c r="D116" s="96">
        <v>4.25</v>
      </c>
    </row>
    <row r="117" spans="1:4" ht="100.5" customHeight="1" x14ac:dyDescent="0.25">
      <c r="A117" s="252" t="s">
        <v>960</v>
      </c>
      <c r="B117" s="249"/>
      <c r="C117" s="248" t="s">
        <v>961</v>
      </c>
      <c r="D117" s="96">
        <v>34.799999999999997</v>
      </c>
    </row>
    <row r="118" spans="1:4" ht="108" customHeight="1" x14ac:dyDescent="0.25">
      <c r="A118" s="252" t="s">
        <v>962</v>
      </c>
      <c r="B118" s="249"/>
      <c r="C118" s="248" t="s">
        <v>963</v>
      </c>
      <c r="D118" s="96">
        <v>120.21465999999999</v>
      </c>
    </row>
    <row r="119" spans="1:4" ht="31.5" x14ac:dyDescent="0.2">
      <c r="A119" s="27" t="s">
        <v>964</v>
      </c>
      <c r="B119" s="223">
        <v>999</v>
      </c>
      <c r="C119" s="251"/>
      <c r="D119" s="222">
        <f>D120</f>
        <v>1000.59401</v>
      </c>
    </row>
    <row r="120" spans="1:4" ht="78.75" x14ac:dyDescent="0.25">
      <c r="A120" s="250" t="s">
        <v>899</v>
      </c>
      <c r="B120" s="249"/>
      <c r="C120" s="248" t="s">
        <v>965</v>
      </c>
      <c r="D120" s="96">
        <v>1000.59401</v>
      </c>
    </row>
    <row r="121" spans="1:4" ht="15.75" x14ac:dyDescent="0.25">
      <c r="A121" s="27" t="s">
        <v>423</v>
      </c>
      <c r="B121" s="247"/>
      <c r="C121" s="246"/>
      <c r="D121" s="222">
        <f>D12+D16+D18+D20+D22+D27+D29+D31+D33+D35+D37+D56+D58+D60+D62+D71+D73+D98+D104+D106+D119</f>
        <v>5473761.2527499991</v>
      </c>
    </row>
    <row r="122" spans="1:4" ht="15.75" x14ac:dyDescent="0.25">
      <c r="A122" s="233"/>
      <c r="B122" s="233"/>
      <c r="C122" s="245"/>
      <c r="D122" s="244"/>
    </row>
    <row r="123" spans="1:4" ht="15.75" x14ac:dyDescent="0.25">
      <c r="A123" s="233"/>
      <c r="B123" s="233"/>
      <c r="C123" s="245"/>
      <c r="D123" s="244"/>
    </row>
    <row r="124" spans="1:4" ht="15.75" x14ac:dyDescent="0.25">
      <c r="A124" s="243" t="s">
        <v>967</v>
      </c>
      <c r="B124" s="243"/>
      <c r="C124" s="242"/>
      <c r="D124" s="242"/>
    </row>
    <row r="125" spans="1:4" ht="15" x14ac:dyDescent="0.2">
      <c r="A125" s="235"/>
      <c r="B125" s="235"/>
      <c r="C125" s="235"/>
      <c r="D125" s="235"/>
    </row>
    <row r="128" spans="1:4" ht="9.75" customHeight="1" x14ac:dyDescent="0.2"/>
    <row r="129" hidden="1" x14ac:dyDescent="0.2"/>
    <row r="130" hidden="1" x14ac:dyDescent="0.2"/>
    <row r="131" hidden="1" x14ac:dyDescent="0.2"/>
  </sheetData>
  <mergeCells count="9">
    <mergeCell ref="A10:A11"/>
    <mergeCell ref="B10:C10"/>
    <mergeCell ref="D10:D11"/>
    <mergeCell ref="A1:D1"/>
    <mergeCell ref="A2:D2"/>
    <mergeCell ref="A3:D3"/>
    <mergeCell ref="A5:D5"/>
    <mergeCell ref="A6:D6"/>
    <mergeCell ref="A7:D7"/>
  </mergeCells>
  <pageMargins left="0.39370078740157483" right="0.39370078740157483" top="0.39370078740157483" bottom="0.39370078740157483" header="0" footer="0"/>
  <pageSetup paperSize="9" scale="90" orientation="portrait" r:id="rId1"/>
  <headerFooter>
    <oddFooter>&amp;C&amp;P</oddFooter>
  </headerFooter>
  <rowBreaks count="2" manualBreakCount="2">
    <brk id="23" max="3" man="1"/>
    <brk id="11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H84"/>
  <sheetViews>
    <sheetView view="pageBreakPreview" zoomScale="140" zoomScaleNormal="130" zoomScaleSheetLayoutView="140" workbookViewId="0">
      <selection activeCell="A69" sqref="A69:G69"/>
    </sheetView>
  </sheetViews>
  <sheetFormatPr defaultRowHeight="12.75" x14ac:dyDescent="0.2"/>
  <cols>
    <col min="1" max="1" width="26.85546875" customWidth="1"/>
    <col min="2" max="2" width="52.28515625" customWidth="1"/>
    <col min="3" max="3" width="14.140625" hidden="1" customWidth="1"/>
    <col min="4" max="4" width="15.7109375" hidden="1" customWidth="1"/>
    <col min="5" max="5" width="15.28515625" customWidth="1"/>
    <col min="6" max="6" width="13.42578125" customWidth="1"/>
    <col min="7" max="7" width="10.5703125" customWidth="1"/>
  </cols>
  <sheetData>
    <row r="1" spans="1:8" ht="15" x14ac:dyDescent="0.25">
      <c r="A1" s="202"/>
      <c r="B1" s="339" t="s">
        <v>732</v>
      </c>
      <c r="C1" s="339"/>
      <c r="D1" s="339"/>
      <c r="E1" s="339"/>
      <c r="F1" s="339"/>
      <c r="G1" s="339"/>
    </row>
    <row r="2" spans="1:8" ht="15" x14ac:dyDescent="0.25">
      <c r="A2" s="339" t="s">
        <v>776</v>
      </c>
      <c r="B2" s="339"/>
      <c r="C2" s="339"/>
      <c r="D2" s="339"/>
      <c r="E2" s="339"/>
      <c r="F2" s="339"/>
      <c r="G2" s="339"/>
      <c r="H2" s="281"/>
    </row>
    <row r="3" spans="1:8" ht="9" customHeight="1" x14ac:dyDescent="0.25">
      <c r="A3" s="1"/>
      <c r="B3" s="1"/>
      <c r="C3" s="1"/>
      <c r="D3" s="199"/>
      <c r="E3" s="199"/>
    </row>
    <row r="4" spans="1:8" ht="14.25" x14ac:dyDescent="0.2">
      <c r="A4" s="341" t="s">
        <v>454</v>
      </c>
      <c r="B4" s="341"/>
      <c r="C4" s="341"/>
      <c r="D4" s="341"/>
      <c r="E4" s="341"/>
      <c r="F4" s="341"/>
      <c r="G4" s="341"/>
    </row>
    <row r="5" spans="1:8" ht="15.75" customHeight="1" x14ac:dyDescent="0.2">
      <c r="A5" s="341" t="s">
        <v>455</v>
      </c>
      <c r="B5" s="341"/>
      <c r="C5" s="341"/>
      <c r="D5" s="341"/>
      <c r="E5" s="341"/>
      <c r="F5" s="341"/>
      <c r="G5" s="341"/>
    </row>
    <row r="6" spans="1:8" ht="14.25" x14ac:dyDescent="0.2">
      <c r="A6" s="341" t="s">
        <v>517</v>
      </c>
      <c r="B6" s="341"/>
      <c r="C6" s="341"/>
      <c r="D6" s="341"/>
      <c r="E6" s="341"/>
      <c r="F6" s="341"/>
      <c r="G6" s="341"/>
    </row>
    <row r="7" spans="1:8" ht="9" customHeight="1" x14ac:dyDescent="0.2">
      <c r="A7" s="340" t="s">
        <v>456</v>
      </c>
      <c r="B7" s="340"/>
      <c r="C7" s="340"/>
      <c r="D7" s="340"/>
      <c r="E7" s="340"/>
      <c r="F7" s="340"/>
      <c r="G7" s="340"/>
    </row>
    <row r="8" spans="1:8" ht="36" x14ac:dyDescent="0.2">
      <c r="A8" s="54" t="s">
        <v>457</v>
      </c>
      <c r="B8" s="54" t="s">
        <v>278</v>
      </c>
      <c r="C8" s="54" t="s">
        <v>523</v>
      </c>
      <c r="D8" s="54" t="s">
        <v>307</v>
      </c>
      <c r="E8" s="54" t="s">
        <v>767</v>
      </c>
      <c r="F8" s="54" t="s">
        <v>770</v>
      </c>
      <c r="G8" s="54" t="s">
        <v>766</v>
      </c>
    </row>
    <row r="9" spans="1:8" ht="28.5" x14ac:dyDescent="0.2">
      <c r="A9" s="318" t="s">
        <v>458</v>
      </c>
      <c r="B9" s="326" t="s">
        <v>459</v>
      </c>
      <c r="C9" s="319">
        <f>C10+C12+C14+C19+C23+C24+C29+C31+C32+C35+C36</f>
        <v>2396010</v>
      </c>
      <c r="D9" s="319">
        <f>E9-C9</f>
        <v>-20885</v>
      </c>
      <c r="E9" s="319">
        <f>E10+E12+E14+E19+E23+E24+E29+E31+E32+E35+E36</f>
        <v>2375125</v>
      </c>
      <c r="F9" s="319">
        <f t="shared" ref="F9" si="0">F10+F12+F14+F19+F23+F24+F29+F31+F32+F35+F36</f>
        <v>2362950.0960920001</v>
      </c>
      <c r="G9" s="319">
        <f>F9/E9*100</f>
        <v>99.487399446008112</v>
      </c>
      <c r="H9" s="235"/>
    </row>
    <row r="10" spans="1:8" s="31" customFormat="1" ht="15" x14ac:dyDescent="0.2">
      <c r="A10" s="143" t="s">
        <v>460</v>
      </c>
      <c r="B10" s="134" t="s">
        <v>461</v>
      </c>
      <c r="C10" s="305">
        <f>C11</f>
        <v>1081074</v>
      </c>
      <c r="D10" s="305">
        <f>E10-C10</f>
        <v>22000</v>
      </c>
      <c r="E10" s="127">
        <f>E11</f>
        <v>1103074</v>
      </c>
      <c r="F10" s="127">
        <f t="shared" ref="F10" si="1">F11</f>
        <v>1109306.6026699999</v>
      </c>
      <c r="G10" s="304">
        <f t="shared" ref="G10:G67" si="2">F10/E10*100</f>
        <v>100.5650212651191</v>
      </c>
      <c r="H10" s="303"/>
    </row>
    <row r="11" spans="1:8" s="31" customFormat="1" ht="15" x14ac:dyDescent="0.2">
      <c r="A11" s="36" t="s">
        <v>462</v>
      </c>
      <c r="B11" s="306" t="s">
        <v>463</v>
      </c>
      <c r="C11" s="307">
        <f>1068074+13000</f>
        <v>1081074</v>
      </c>
      <c r="D11" s="308">
        <f t="shared" ref="D11:D36" si="3">E11-C11</f>
        <v>22000</v>
      </c>
      <c r="E11" s="84">
        <f>1068074+13000+21000+1000</f>
        <v>1103074</v>
      </c>
      <c r="F11" s="84">
        <v>1109306.6026699999</v>
      </c>
      <c r="G11" s="309">
        <f t="shared" si="2"/>
        <v>100.5650212651191</v>
      </c>
      <c r="H11" s="303"/>
    </row>
    <row r="12" spans="1:8" s="31" customFormat="1" ht="24" x14ac:dyDescent="0.2">
      <c r="A12" s="39" t="s">
        <v>143</v>
      </c>
      <c r="B12" s="61" t="s">
        <v>144</v>
      </c>
      <c r="C12" s="308">
        <f>C13</f>
        <v>19534</v>
      </c>
      <c r="D12" s="308">
        <f t="shared" si="3"/>
        <v>-1777</v>
      </c>
      <c r="E12" s="83">
        <f>E13</f>
        <v>17757</v>
      </c>
      <c r="F12" s="83">
        <f t="shared" ref="F12" si="4">F13</f>
        <v>17432.17078</v>
      </c>
      <c r="G12" s="304">
        <f t="shared" si="2"/>
        <v>98.17069764036718</v>
      </c>
      <c r="H12" s="303"/>
    </row>
    <row r="13" spans="1:8" s="31" customFormat="1" ht="24" x14ac:dyDescent="0.2">
      <c r="A13" s="36" t="s">
        <v>121</v>
      </c>
      <c r="B13" s="306" t="s">
        <v>478</v>
      </c>
      <c r="C13" s="307">
        <v>19534</v>
      </c>
      <c r="D13" s="308">
        <f t="shared" si="3"/>
        <v>-1777</v>
      </c>
      <c r="E13" s="84">
        <f>19534-1777</f>
        <v>17757</v>
      </c>
      <c r="F13" s="84">
        <v>17432.17078</v>
      </c>
      <c r="G13" s="309">
        <f t="shared" si="2"/>
        <v>98.17069764036718</v>
      </c>
      <c r="H13" s="303"/>
    </row>
    <row r="14" spans="1:8" s="31" customFormat="1" ht="15" x14ac:dyDescent="0.2">
      <c r="A14" s="39" t="s">
        <v>464</v>
      </c>
      <c r="B14" s="61" t="s">
        <v>465</v>
      </c>
      <c r="C14" s="308">
        <f>C15+C16+C17+C18</f>
        <v>595059</v>
      </c>
      <c r="D14" s="308">
        <f t="shared" si="3"/>
        <v>2185</v>
      </c>
      <c r="E14" s="83">
        <f>E15+E16+E17+E18</f>
        <v>597244</v>
      </c>
      <c r="F14" s="83">
        <f t="shared" ref="F14" si="5">F15+F16+F17+F18</f>
        <v>620646.66152999992</v>
      </c>
      <c r="G14" s="304">
        <f t="shared" si="2"/>
        <v>103.9184422999645</v>
      </c>
      <c r="H14" s="303"/>
    </row>
    <row r="15" spans="1:8" s="31" customFormat="1" ht="24" x14ac:dyDescent="0.2">
      <c r="A15" s="36" t="s">
        <v>466</v>
      </c>
      <c r="B15" s="306" t="s">
        <v>467</v>
      </c>
      <c r="C15" s="307">
        <f>460151+32000</f>
        <v>492151</v>
      </c>
      <c r="D15" s="308">
        <f t="shared" si="3"/>
        <v>15000</v>
      </c>
      <c r="E15" s="84">
        <f>460151+32000+3000+12000</f>
        <v>507151</v>
      </c>
      <c r="F15" s="84">
        <v>529111.33008999994</v>
      </c>
      <c r="G15" s="309">
        <f t="shared" si="2"/>
        <v>104.33013640710556</v>
      </c>
      <c r="H15" s="303"/>
    </row>
    <row r="16" spans="1:8" s="31" customFormat="1" ht="24" x14ac:dyDescent="0.2">
      <c r="A16" s="36" t="s">
        <v>468</v>
      </c>
      <c r="B16" s="306" t="s">
        <v>0</v>
      </c>
      <c r="C16" s="307">
        <v>96138</v>
      </c>
      <c r="D16" s="308">
        <f t="shared" si="3"/>
        <v>-18000</v>
      </c>
      <c r="E16" s="84">
        <f>96138-11000-7000</f>
        <v>78138</v>
      </c>
      <c r="F16" s="84">
        <v>79770.657909999994</v>
      </c>
      <c r="G16" s="309">
        <f t="shared" si="2"/>
        <v>102.08945443958125</v>
      </c>
      <c r="H16" s="303"/>
    </row>
    <row r="17" spans="1:8" s="31" customFormat="1" ht="15" x14ac:dyDescent="0.2">
      <c r="A17" s="36" t="s">
        <v>1</v>
      </c>
      <c r="B17" s="306" t="s">
        <v>2</v>
      </c>
      <c r="C17" s="307">
        <v>4515</v>
      </c>
      <c r="D17" s="308">
        <f t="shared" si="3"/>
        <v>4485</v>
      </c>
      <c r="E17" s="84">
        <f>4515+4485</f>
        <v>9000</v>
      </c>
      <c r="F17" s="84">
        <v>8978.3116200000004</v>
      </c>
      <c r="G17" s="309">
        <f t="shared" si="2"/>
        <v>99.759017999999998</v>
      </c>
      <c r="H17" s="303"/>
    </row>
    <row r="18" spans="1:8" s="31" customFormat="1" ht="24" x14ac:dyDescent="0.2">
      <c r="A18" s="29" t="s">
        <v>122</v>
      </c>
      <c r="B18" s="306" t="s">
        <v>178</v>
      </c>
      <c r="C18" s="307">
        <v>2255</v>
      </c>
      <c r="D18" s="308">
        <f t="shared" si="3"/>
        <v>700</v>
      </c>
      <c r="E18" s="84">
        <f>2255+300+400</f>
        <v>2955</v>
      </c>
      <c r="F18" s="84">
        <v>2786.3619100000001</v>
      </c>
      <c r="G18" s="309">
        <f t="shared" si="2"/>
        <v>94.293127241962779</v>
      </c>
      <c r="H18" s="303"/>
    </row>
    <row r="19" spans="1:8" s="31" customFormat="1" ht="15" x14ac:dyDescent="0.2">
      <c r="A19" s="39" t="s">
        <v>3</v>
      </c>
      <c r="B19" s="61" t="s">
        <v>4</v>
      </c>
      <c r="C19" s="308">
        <f>C20+C21+C22</f>
        <v>421657</v>
      </c>
      <c r="D19" s="308">
        <f t="shared" si="3"/>
        <v>-40685</v>
      </c>
      <c r="E19" s="83">
        <f>E20+E21+E22</f>
        <v>380972</v>
      </c>
      <c r="F19" s="83">
        <f t="shared" ref="F19" si="6">F20+F21+F22</f>
        <v>351649.34515000001</v>
      </c>
      <c r="G19" s="304">
        <f t="shared" si="2"/>
        <v>92.303199487101423</v>
      </c>
      <c r="H19" s="303"/>
    </row>
    <row r="20" spans="1:8" s="31" customFormat="1" ht="15" x14ac:dyDescent="0.2">
      <c r="A20" s="36" t="s">
        <v>5</v>
      </c>
      <c r="B20" s="306" t="s">
        <v>6</v>
      </c>
      <c r="C20" s="307">
        <v>64981</v>
      </c>
      <c r="D20" s="308">
        <f t="shared" si="3"/>
        <v>3000</v>
      </c>
      <c r="E20" s="84">
        <f>64981+5000-2000</f>
        <v>67981</v>
      </c>
      <c r="F20" s="84">
        <v>68448.625199999995</v>
      </c>
      <c r="G20" s="309">
        <f t="shared" si="2"/>
        <v>100.68787631838308</v>
      </c>
      <c r="H20" s="303"/>
    </row>
    <row r="21" spans="1:8" s="31" customFormat="1" ht="15" x14ac:dyDescent="0.2">
      <c r="A21" s="36" t="s">
        <v>145</v>
      </c>
      <c r="B21" s="306" t="s">
        <v>146</v>
      </c>
      <c r="C21" s="307">
        <f>91300+19000</f>
        <v>110300</v>
      </c>
      <c r="D21" s="308">
        <f t="shared" si="3"/>
        <v>-17000</v>
      </c>
      <c r="E21" s="84">
        <f>91300+19000-20000+3000</f>
        <v>93300</v>
      </c>
      <c r="F21" s="84">
        <v>92700.582370000004</v>
      </c>
      <c r="G21" s="309">
        <f t="shared" si="2"/>
        <v>99.357537374062161</v>
      </c>
      <c r="H21" s="303"/>
    </row>
    <row r="22" spans="1:8" s="31" customFormat="1" ht="15" x14ac:dyDescent="0.2">
      <c r="A22" s="36" t="s">
        <v>7</v>
      </c>
      <c r="B22" s="306" t="s">
        <v>8</v>
      </c>
      <c r="C22" s="307">
        <f>210376+36000</f>
        <v>246376</v>
      </c>
      <c r="D22" s="308">
        <f t="shared" si="3"/>
        <v>-26685</v>
      </c>
      <c r="E22" s="84">
        <f>210376+36000-19285-7400</f>
        <v>219691</v>
      </c>
      <c r="F22" s="84">
        <v>190500.13758000001</v>
      </c>
      <c r="G22" s="309">
        <f t="shared" si="2"/>
        <v>86.71276364530182</v>
      </c>
      <c r="H22" s="303"/>
    </row>
    <row r="23" spans="1:8" s="31" customFormat="1" ht="15" x14ac:dyDescent="0.2">
      <c r="A23" s="39" t="s">
        <v>9</v>
      </c>
      <c r="B23" s="61" t="s">
        <v>10</v>
      </c>
      <c r="C23" s="308">
        <v>66325</v>
      </c>
      <c r="D23" s="308">
        <f t="shared" si="3"/>
        <v>0</v>
      </c>
      <c r="E23" s="83">
        <f>66325</f>
        <v>66325</v>
      </c>
      <c r="F23" s="83">
        <v>59093.61045</v>
      </c>
      <c r="G23" s="309">
        <f t="shared" si="2"/>
        <v>89.097037994722967</v>
      </c>
      <c r="H23" s="303"/>
    </row>
    <row r="24" spans="1:8" s="31" customFormat="1" ht="24" x14ac:dyDescent="0.2">
      <c r="A24" s="39" t="s">
        <v>11</v>
      </c>
      <c r="B24" s="61" t="s">
        <v>12</v>
      </c>
      <c r="C24" s="308">
        <f>C25+C26+C27+C28</f>
        <v>117161</v>
      </c>
      <c r="D24" s="308">
        <f t="shared" si="3"/>
        <v>-11858</v>
      </c>
      <c r="E24" s="83">
        <f>E25+E26+E27+E28</f>
        <v>105303</v>
      </c>
      <c r="F24" s="83">
        <f t="shared" ref="F24" si="7">F25+F26+F27+F28</f>
        <v>94546.863559999998</v>
      </c>
      <c r="G24" s="304">
        <f t="shared" si="2"/>
        <v>89.78553655641339</v>
      </c>
      <c r="H24" s="303"/>
    </row>
    <row r="25" spans="1:8" s="31" customFormat="1" ht="60" x14ac:dyDescent="0.2">
      <c r="A25" s="36" t="s">
        <v>123</v>
      </c>
      <c r="B25" s="306" t="s">
        <v>524</v>
      </c>
      <c r="C25" s="307">
        <v>100563</v>
      </c>
      <c r="D25" s="308">
        <f t="shared" si="3"/>
        <v>-11858</v>
      </c>
      <c r="E25" s="84">
        <f>100563-11858</f>
        <v>88705</v>
      </c>
      <c r="F25" s="84">
        <v>74889.692169999995</v>
      </c>
      <c r="G25" s="309">
        <f t="shared" si="2"/>
        <v>84.425559066568951</v>
      </c>
      <c r="H25" s="303"/>
    </row>
    <row r="26" spans="1:8" s="31" customFormat="1" ht="48" x14ac:dyDescent="0.2">
      <c r="A26" s="36" t="s">
        <v>98</v>
      </c>
      <c r="B26" s="306" t="s">
        <v>119</v>
      </c>
      <c r="C26" s="307">
        <v>6000</v>
      </c>
      <c r="D26" s="308">
        <f t="shared" si="3"/>
        <v>0</v>
      </c>
      <c r="E26" s="84">
        <v>6000</v>
      </c>
      <c r="F26" s="84">
        <v>8204.7999999999993</v>
      </c>
      <c r="G26" s="309">
        <f t="shared" si="2"/>
        <v>136.74666666666667</v>
      </c>
      <c r="H26" s="303"/>
    </row>
    <row r="27" spans="1:8" s="31" customFormat="1" ht="60" x14ac:dyDescent="0.2">
      <c r="A27" s="29" t="s">
        <v>276</v>
      </c>
      <c r="B27" s="306" t="s">
        <v>277</v>
      </c>
      <c r="C27" s="307">
        <v>9968</v>
      </c>
      <c r="D27" s="308">
        <f t="shared" si="3"/>
        <v>0</v>
      </c>
      <c r="E27" s="84">
        <v>9968</v>
      </c>
      <c r="F27" s="84">
        <v>11225.67139</v>
      </c>
      <c r="G27" s="309">
        <f t="shared" si="2"/>
        <v>112.61708858346708</v>
      </c>
      <c r="H27" s="303"/>
    </row>
    <row r="28" spans="1:8" s="31" customFormat="1" ht="36" x14ac:dyDescent="0.2">
      <c r="A28" s="36" t="s">
        <v>253</v>
      </c>
      <c r="B28" s="306" t="s">
        <v>256</v>
      </c>
      <c r="C28" s="307">
        <v>630</v>
      </c>
      <c r="D28" s="308">
        <f t="shared" si="3"/>
        <v>0</v>
      </c>
      <c r="E28" s="84">
        <v>630</v>
      </c>
      <c r="F28" s="84">
        <v>226.7</v>
      </c>
      <c r="G28" s="309">
        <f t="shared" si="2"/>
        <v>35.984126984126988</v>
      </c>
      <c r="H28" s="303"/>
    </row>
    <row r="29" spans="1:8" s="31" customFormat="1" ht="15" x14ac:dyDescent="0.2">
      <c r="A29" s="39" t="s">
        <v>13</v>
      </c>
      <c r="B29" s="61" t="s">
        <v>14</v>
      </c>
      <c r="C29" s="308">
        <f>C30</f>
        <v>3100</v>
      </c>
      <c r="D29" s="308">
        <f t="shared" si="3"/>
        <v>0</v>
      </c>
      <c r="E29" s="83">
        <f>E30</f>
        <v>3100</v>
      </c>
      <c r="F29" s="83">
        <f t="shared" ref="F29" si="8">F30</f>
        <v>3675.6518700000001</v>
      </c>
      <c r="G29" s="304">
        <f t="shared" si="2"/>
        <v>118.56941516129034</v>
      </c>
      <c r="H29" s="303"/>
    </row>
    <row r="30" spans="1:8" s="31" customFormat="1" ht="15" x14ac:dyDescent="0.2">
      <c r="A30" s="36" t="s">
        <v>15</v>
      </c>
      <c r="B30" s="306" t="s">
        <v>16</v>
      </c>
      <c r="C30" s="307">
        <v>3100</v>
      </c>
      <c r="D30" s="308">
        <f t="shared" si="3"/>
        <v>0</v>
      </c>
      <c r="E30" s="84">
        <v>3100</v>
      </c>
      <c r="F30" s="84">
        <v>3675.6518700000001</v>
      </c>
      <c r="G30" s="309">
        <f t="shared" si="2"/>
        <v>118.56941516129034</v>
      </c>
      <c r="H30" s="303"/>
    </row>
    <row r="31" spans="1:8" s="31" customFormat="1" ht="24" x14ac:dyDescent="0.2">
      <c r="A31" s="39" t="s">
        <v>124</v>
      </c>
      <c r="B31" s="61" t="s">
        <v>279</v>
      </c>
      <c r="C31" s="308">
        <v>700</v>
      </c>
      <c r="D31" s="308">
        <f t="shared" si="3"/>
        <v>0</v>
      </c>
      <c r="E31" s="83">
        <v>700</v>
      </c>
      <c r="F31" s="83">
        <v>1138.3887500000001</v>
      </c>
      <c r="G31" s="304">
        <f t="shared" si="2"/>
        <v>162.62696428571431</v>
      </c>
      <c r="H31" s="303"/>
    </row>
    <row r="32" spans="1:8" s="31" customFormat="1" ht="15" x14ac:dyDescent="0.2">
      <c r="A32" s="39" t="s">
        <v>17</v>
      </c>
      <c r="B32" s="61" t="s">
        <v>18</v>
      </c>
      <c r="C32" s="308">
        <f>C33+C34</f>
        <v>30000</v>
      </c>
      <c r="D32" s="308">
        <f t="shared" si="3"/>
        <v>0</v>
      </c>
      <c r="E32" s="83">
        <f>E33+E34</f>
        <v>30000</v>
      </c>
      <c r="F32" s="83">
        <f t="shared" ref="F32" si="9">F33+F34</f>
        <v>38185.023002000002</v>
      </c>
      <c r="G32" s="304">
        <f t="shared" si="2"/>
        <v>127.28341000666667</v>
      </c>
      <c r="H32" s="303"/>
    </row>
    <row r="33" spans="1:8" s="31" customFormat="1" ht="72" x14ac:dyDescent="0.2">
      <c r="A33" s="36" t="s">
        <v>133</v>
      </c>
      <c r="B33" s="306" t="s">
        <v>525</v>
      </c>
      <c r="C33" s="307">
        <v>8000</v>
      </c>
      <c r="D33" s="308">
        <f t="shared" si="3"/>
        <v>0</v>
      </c>
      <c r="E33" s="84">
        <v>8000</v>
      </c>
      <c r="F33" s="84">
        <v>13517.4432</v>
      </c>
      <c r="G33" s="309">
        <f t="shared" si="2"/>
        <v>168.96803999999997</v>
      </c>
      <c r="H33" s="303"/>
    </row>
    <row r="34" spans="1:8" s="31" customFormat="1" ht="36" x14ac:dyDescent="0.2">
      <c r="A34" s="36" t="s">
        <v>19</v>
      </c>
      <c r="B34" s="306" t="s">
        <v>20</v>
      </c>
      <c r="C34" s="307">
        <v>22000</v>
      </c>
      <c r="D34" s="308">
        <f t="shared" si="3"/>
        <v>0</v>
      </c>
      <c r="E34" s="84">
        <v>22000</v>
      </c>
      <c r="F34" s="84">
        <v>24667.579802</v>
      </c>
      <c r="G34" s="309">
        <f t="shared" si="2"/>
        <v>112.12536273636364</v>
      </c>
      <c r="H34" s="303"/>
    </row>
    <row r="35" spans="1:8" s="31" customFormat="1" ht="15" x14ac:dyDescent="0.2">
      <c r="A35" s="310" t="s">
        <v>21</v>
      </c>
      <c r="B35" s="61" t="s">
        <v>22</v>
      </c>
      <c r="C35" s="308">
        <v>41200</v>
      </c>
      <c r="D35" s="308">
        <f t="shared" si="3"/>
        <v>-2500</v>
      </c>
      <c r="E35" s="83">
        <f>41200-2500</f>
        <v>38700</v>
      </c>
      <c r="F35" s="83">
        <v>34419.251799999998</v>
      </c>
      <c r="G35" s="304">
        <f t="shared" si="2"/>
        <v>88.938635142118855</v>
      </c>
      <c r="H35" s="303"/>
    </row>
    <row r="36" spans="1:8" s="31" customFormat="1" ht="15" x14ac:dyDescent="0.2">
      <c r="A36" s="104" t="s">
        <v>148</v>
      </c>
      <c r="B36" s="134" t="s">
        <v>147</v>
      </c>
      <c r="C36" s="305">
        <v>20200</v>
      </c>
      <c r="D36" s="305">
        <f t="shared" si="3"/>
        <v>11750</v>
      </c>
      <c r="E36" s="127">
        <f>20200+11750</f>
        <v>31950</v>
      </c>
      <c r="F36" s="127">
        <v>32856.526530000003</v>
      </c>
      <c r="G36" s="304">
        <f t="shared" si="2"/>
        <v>102.83732873239437</v>
      </c>
      <c r="H36" s="303"/>
    </row>
    <row r="37" spans="1:8" s="31" customFormat="1" ht="15" x14ac:dyDescent="0.2">
      <c r="A37" s="320" t="s">
        <v>23</v>
      </c>
      <c r="B37" s="321" t="s">
        <v>24</v>
      </c>
      <c r="C37" s="323" t="e">
        <f>C38+C42+C51+C59</f>
        <v>#REF!</v>
      </c>
      <c r="D37" s="323" t="e">
        <f>E37-C37</f>
        <v>#REF!</v>
      </c>
      <c r="E37" s="323">
        <f>E39+E43+E52+E60+E66</f>
        <v>3160063.9699899997</v>
      </c>
      <c r="F37" s="323">
        <f>F39+F43+F52+F60+F66</f>
        <v>3110811.2482899996</v>
      </c>
      <c r="G37" s="322">
        <f t="shared" si="2"/>
        <v>98.441401118213562</v>
      </c>
      <c r="H37" s="303"/>
    </row>
    <row r="38" spans="1:8" s="8" customFormat="1" ht="15.75" x14ac:dyDescent="0.25">
      <c r="A38" s="320" t="s">
        <v>23</v>
      </c>
      <c r="B38" s="321" t="s">
        <v>24</v>
      </c>
      <c r="C38" s="323" t="e">
        <f>C39+C43+C52+C60</f>
        <v>#REF!</v>
      </c>
      <c r="D38" s="323" t="e">
        <f>E38-C38</f>
        <v>#REF!</v>
      </c>
      <c r="E38" s="323">
        <f>E39+E43+E52+E60</f>
        <v>3160063.9699899997</v>
      </c>
      <c r="F38" s="323">
        <f>F39+F43+F52+F60</f>
        <v>3111361.6912599998</v>
      </c>
      <c r="G38" s="322">
        <f t="shared" si="2"/>
        <v>98.458819846923731</v>
      </c>
      <c r="H38" s="243"/>
    </row>
    <row r="39" spans="1:8" s="8" customFormat="1" ht="24" x14ac:dyDescent="0.25">
      <c r="A39" s="135" t="s">
        <v>505</v>
      </c>
      <c r="B39" s="134" t="s">
        <v>25</v>
      </c>
      <c r="C39" s="305">
        <f>C40+C41</f>
        <v>227744</v>
      </c>
      <c r="D39" s="305">
        <f>E39-C39</f>
        <v>22808</v>
      </c>
      <c r="E39" s="83">
        <f>E40+E41</f>
        <v>250552</v>
      </c>
      <c r="F39" s="83">
        <f>F40+F41+F42</f>
        <v>256187</v>
      </c>
      <c r="G39" s="304">
        <f t="shared" si="2"/>
        <v>102.24903413263516</v>
      </c>
      <c r="H39" s="243"/>
    </row>
    <row r="40" spans="1:8" s="8" customFormat="1" ht="24" x14ac:dyDescent="0.25">
      <c r="A40" s="123" t="s">
        <v>506</v>
      </c>
      <c r="B40" s="197" t="s">
        <v>686</v>
      </c>
      <c r="C40" s="311">
        <v>167744</v>
      </c>
      <c r="D40" s="305">
        <f t="shared" ref="D40:D62" si="10">E40-C40</f>
        <v>0</v>
      </c>
      <c r="E40" s="128">
        <v>167744</v>
      </c>
      <c r="F40" s="128">
        <v>167744</v>
      </c>
      <c r="G40" s="309">
        <f t="shared" si="2"/>
        <v>100</v>
      </c>
      <c r="H40" s="243"/>
    </row>
    <row r="41" spans="1:8" s="8" customFormat="1" ht="24" x14ac:dyDescent="0.25">
      <c r="A41" s="123" t="s">
        <v>679</v>
      </c>
      <c r="B41" s="197" t="s">
        <v>680</v>
      </c>
      <c r="C41" s="311">
        <v>60000</v>
      </c>
      <c r="D41" s="305">
        <f t="shared" si="10"/>
        <v>22808</v>
      </c>
      <c r="E41" s="128">
        <f>60000+19108+3700</f>
        <v>82808</v>
      </c>
      <c r="F41" s="128">
        <v>82808</v>
      </c>
      <c r="G41" s="309">
        <f t="shared" si="2"/>
        <v>100</v>
      </c>
      <c r="H41" s="243"/>
    </row>
    <row r="42" spans="1:8" s="8" customFormat="1" ht="24" x14ac:dyDescent="0.25">
      <c r="A42" s="123" t="s">
        <v>894</v>
      </c>
      <c r="B42" s="197" t="s">
        <v>966</v>
      </c>
      <c r="C42" s="311"/>
      <c r="D42" s="305"/>
      <c r="E42" s="128"/>
      <c r="F42" s="128">
        <v>5635</v>
      </c>
      <c r="G42" s="304"/>
      <c r="H42" s="243"/>
    </row>
    <row r="43" spans="1:8" s="8" customFormat="1" ht="24" x14ac:dyDescent="0.25">
      <c r="A43" s="135" t="s">
        <v>507</v>
      </c>
      <c r="B43" s="134" t="s">
        <v>47</v>
      </c>
      <c r="C43" s="305">
        <f>SUM(C44:C50)</f>
        <v>151753.82</v>
      </c>
      <c r="D43" s="305">
        <f t="shared" si="10"/>
        <v>327076.92098999996</v>
      </c>
      <c r="E43" s="127">
        <f t="shared" ref="E43:F43" si="11">SUM(E44:E51)</f>
        <v>478830.74098999996</v>
      </c>
      <c r="F43" s="127">
        <f t="shared" si="11"/>
        <v>444206.60526000004</v>
      </c>
      <c r="G43" s="304">
        <f t="shared" si="2"/>
        <v>92.769024048369729</v>
      </c>
      <c r="H43" s="243"/>
    </row>
    <row r="44" spans="1:8" s="8" customFormat="1" ht="60" x14ac:dyDescent="0.25">
      <c r="A44" s="123" t="s">
        <v>508</v>
      </c>
      <c r="B44" s="197" t="s">
        <v>719</v>
      </c>
      <c r="C44" s="311">
        <v>151753.82</v>
      </c>
      <c r="D44" s="305">
        <f t="shared" si="10"/>
        <v>149999.99999999994</v>
      </c>
      <c r="E44" s="128">
        <f>151753.8+0.02+150000</f>
        <v>301753.81999999995</v>
      </c>
      <c r="F44" s="128">
        <v>267129.685</v>
      </c>
      <c r="G44" s="309">
        <f t="shared" si="2"/>
        <v>88.525701182506992</v>
      </c>
      <c r="H44" s="243"/>
    </row>
    <row r="45" spans="1:8" s="8" customFormat="1" ht="73.5" customHeight="1" x14ac:dyDescent="0.25">
      <c r="A45" s="312" t="s">
        <v>741</v>
      </c>
      <c r="B45" s="197" t="s">
        <v>734</v>
      </c>
      <c r="C45" s="311"/>
      <c r="D45" s="305"/>
      <c r="E45" s="128">
        <v>8362.3067200000005</v>
      </c>
      <c r="F45" s="128">
        <v>8362.3067200000005</v>
      </c>
      <c r="G45" s="309">
        <f t="shared" si="2"/>
        <v>100</v>
      </c>
      <c r="H45" s="243"/>
    </row>
    <row r="46" spans="1:8" s="8" customFormat="1" ht="38.25" customHeight="1" x14ac:dyDescent="0.25">
      <c r="A46" s="123" t="s">
        <v>699</v>
      </c>
      <c r="B46" s="197" t="s">
        <v>700</v>
      </c>
      <c r="C46" s="311"/>
      <c r="D46" s="305"/>
      <c r="E46" s="128">
        <v>1711.5</v>
      </c>
      <c r="F46" s="128">
        <v>1711.5</v>
      </c>
      <c r="G46" s="309">
        <f t="shared" si="2"/>
        <v>100</v>
      </c>
      <c r="H46" s="243"/>
    </row>
    <row r="47" spans="1:8" s="8" customFormat="1" ht="49.5" customHeight="1" x14ac:dyDescent="0.25">
      <c r="A47" s="123" t="s">
        <v>693</v>
      </c>
      <c r="B47" s="197" t="s">
        <v>694</v>
      </c>
      <c r="C47" s="311"/>
      <c r="D47" s="305"/>
      <c r="E47" s="128">
        <v>351.07499999999999</v>
      </c>
      <c r="F47" s="128">
        <v>351.07499999999999</v>
      </c>
      <c r="G47" s="309">
        <f t="shared" si="2"/>
        <v>100</v>
      </c>
      <c r="H47" s="243"/>
    </row>
    <row r="48" spans="1:8" s="8" customFormat="1" ht="24.75" customHeight="1" x14ac:dyDescent="0.25">
      <c r="A48" s="123" t="s">
        <v>688</v>
      </c>
      <c r="B48" s="197" t="s">
        <v>689</v>
      </c>
      <c r="C48" s="311"/>
      <c r="D48" s="305"/>
      <c r="E48" s="128">
        <v>30664.167000000001</v>
      </c>
      <c r="F48" s="128">
        <v>30664.166990000002</v>
      </c>
      <c r="G48" s="309">
        <f t="shared" si="2"/>
        <v>99.999999967388646</v>
      </c>
      <c r="H48" s="243"/>
    </row>
    <row r="49" spans="1:8" s="8" customFormat="1" ht="24" x14ac:dyDescent="0.25">
      <c r="A49" s="313" t="s">
        <v>706</v>
      </c>
      <c r="B49" s="306" t="s">
        <v>707</v>
      </c>
      <c r="C49" s="311"/>
      <c r="D49" s="305"/>
      <c r="E49" s="128">
        <v>69.892470000000003</v>
      </c>
      <c r="F49" s="128">
        <v>69.892470000000003</v>
      </c>
      <c r="G49" s="309">
        <f t="shared" si="2"/>
        <v>100</v>
      </c>
      <c r="H49" s="243"/>
    </row>
    <row r="50" spans="1:8" s="8" customFormat="1" ht="24" customHeight="1" x14ac:dyDescent="0.25">
      <c r="A50" s="313" t="s">
        <v>713</v>
      </c>
      <c r="B50" s="306" t="s">
        <v>714</v>
      </c>
      <c r="C50" s="311"/>
      <c r="D50" s="305"/>
      <c r="E50" s="128">
        <v>85917.979800000001</v>
      </c>
      <c r="F50" s="128">
        <v>85917.979080000005</v>
      </c>
      <c r="G50" s="309">
        <f t="shared" si="2"/>
        <v>99.999999161991468</v>
      </c>
      <c r="H50" s="243"/>
    </row>
    <row r="51" spans="1:8" s="8" customFormat="1" ht="24" x14ac:dyDescent="0.25">
      <c r="A51" s="313" t="s">
        <v>755</v>
      </c>
      <c r="B51" s="306" t="s">
        <v>756</v>
      </c>
      <c r="C51" s="311"/>
      <c r="D51" s="305"/>
      <c r="E51" s="128">
        <v>50000</v>
      </c>
      <c r="F51" s="128">
        <v>50000</v>
      </c>
      <c r="G51" s="309">
        <f t="shared" si="2"/>
        <v>100</v>
      </c>
      <c r="H51" s="243"/>
    </row>
    <row r="52" spans="1:8" s="8" customFormat="1" ht="24" x14ac:dyDescent="0.25">
      <c r="A52" s="135" t="s">
        <v>509</v>
      </c>
      <c r="B52" s="134" t="s">
        <v>31</v>
      </c>
      <c r="C52" s="305" t="e">
        <f>C53+C58+C59</f>
        <v>#REF!</v>
      </c>
      <c r="D52" s="305" t="e">
        <f t="shared" si="10"/>
        <v>#REF!</v>
      </c>
      <c r="E52" s="127">
        <f>E53+E58+E59</f>
        <v>1811459.5499999998</v>
      </c>
      <c r="F52" s="127">
        <f>F53+F58+F59</f>
        <v>1811270.0499999998</v>
      </c>
      <c r="G52" s="304">
        <f t="shared" si="2"/>
        <v>99.98953882243741</v>
      </c>
      <c r="H52" s="243"/>
    </row>
    <row r="53" spans="1:8" s="8" customFormat="1" ht="24" x14ac:dyDescent="0.25">
      <c r="A53" s="122" t="s">
        <v>510</v>
      </c>
      <c r="B53" s="121" t="s">
        <v>134</v>
      </c>
      <c r="C53" s="314" t="e">
        <f>C54+C55+#REF!+C56+C57</f>
        <v>#REF!</v>
      </c>
      <c r="D53" s="305" t="e">
        <f t="shared" si="10"/>
        <v>#REF!</v>
      </c>
      <c r="E53" s="129">
        <f>E54+E55+E56+E57</f>
        <v>1799937.88</v>
      </c>
      <c r="F53" s="129">
        <f>F54+F55+F56+F57</f>
        <v>1799937.88</v>
      </c>
      <c r="G53" s="315">
        <f t="shared" si="2"/>
        <v>100</v>
      </c>
      <c r="H53" s="243"/>
    </row>
    <row r="54" spans="1:8" s="8" customFormat="1" ht="49.5" customHeight="1" x14ac:dyDescent="0.25">
      <c r="A54" s="123" t="s">
        <v>511</v>
      </c>
      <c r="B54" s="197" t="s">
        <v>179</v>
      </c>
      <c r="C54" s="311">
        <v>757994</v>
      </c>
      <c r="D54" s="305">
        <f t="shared" si="10"/>
        <v>-39682.699999999953</v>
      </c>
      <c r="E54" s="128">
        <f>757994+436-40118.7</f>
        <v>718311.3</v>
      </c>
      <c r="F54" s="128">
        <v>718311.3</v>
      </c>
      <c r="G54" s="309">
        <f t="shared" si="2"/>
        <v>100</v>
      </c>
      <c r="H54" s="243"/>
    </row>
    <row r="55" spans="1:8" s="8" customFormat="1" ht="72" x14ac:dyDescent="0.25">
      <c r="A55" s="123" t="s">
        <v>512</v>
      </c>
      <c r="B55" s="197" t="s">
        <v>518</v>
      </c>
      <c r="C55" s="311">
        <v>895221.6</v>
      </c>
      <c r="D55" s="305">
        <f t="shared" si="10"/>
        <v>144207.97999999998</v>
      </c>
      <c r="E55" s="128">
        <f>895221.6+121377.1-13451.82+36282.7</f>
        <v>1039429.58</v>
      </c>
      <c r="F55" s="128">
        <v>1039429.58</v>
      </c>
      <c r="G55" s="309">
        <f t="shared" si="2"/>
        <v>100</v>
      </c>
      <c r="H55" s="243"/>
    </row>
    <row r="56" spans="1:8" s="8" customFormat="1" ht="36" x14ac:dyDescent="0.25">
      <c r="A56" s="123" t="s">
        <v>513</v>
      </c>
      <c r="B56" s="197" t="s">
        <v>180</v>
      </c>
      <c r="C56" s="311">
        <v>38369</v>
      </c>
      <c r="D56" s="305">
        <f t="shared" si="10"/>
        <v>1634</v>
      </c>
      <c r="E56" s="128">
        <f>38369+1634</f>
        <v>40003</v>
      </c>
      <c r="F56" s="128">
        <v>40003</v>
      </c>
      <c r="G56" s="309">
        <f t="shared" si="2"/>
        <v>100</v>
      </c>
      <c r="H56" s="243"/>
    </row>
    <row r="57" spans="1:8" s="8" customFormat="1" ht="36" x14ac:dyDescent="0.25">
      <c r="A57" s="123" t="s">
        <v>514</v>
      </c>
      <c r="B57" s="197" t="s">
        <v>62</v>
      </c>
      <c r="C57" s="311">
        <v>2194</v>
      </c>
      <c r="D57" s="305">
        <f t="shared" si="10"/>
        <v>0</v>
      </c>
      <c r="E57" s="128">
        <v>2194</v>
      </c>
      <c r="F57" s="128">
        <v>2194</v>
      </c>
      <c r="G57" s="309">
        <f t="shared" si="2"/>
        <v>100</v>
      </c>
      <c r="H57" s="243"/>
    </row>
    <row r="58" spans="1:8" s="8" customFormat="1" ht="36" x14ac:dyDescent="0.25">
      <c r="A58" s="122" t="s">
        <v>515</v>
      </c>
      <c r="B58" s="121" t="s">
        <v>519</v>
      </c>
      <c r="C58" s="314">
        <v>19000</v>
      </c>
      <c r="D58" s="305">
        <f t="shared" si="10"/>
        <v>-7667.8299999999981</v>
      </c>
      <c r="E58" s="129">
        <f>19000-2351.39-5316.44</f>
        <v>11332.170000000002</v>
      </c>
      <c r="F58" s="129">
        <v>11332.17</v>
      </c>
      <c r="G58" s="315">
        <f t="shared" si="2"/>
        <v>99.999999999999986</v>
      </c>
      <c r="H58" s="243"/>
    </row>
    <row r="59" spans="1:8" s="8" customFormat="1" ht="48" x14ac:dyDescent="0.25">
      <c r="A59" s="122" t="s">
        <v>516</v>
      </c>
      <c r="B59" s="121" t="s">
        <v>280</v>
      </c>
      <c r="C59" s="314">
        <v>189.5</v>
      </c>
      <c r="D59" s="305">
        <f t="shared" si="10"/>
        <v>0</v>
      </c>
      <c r="E59" s="129">
        <v>189.5</v>
      </c>
      <c r="F59" s="129"/>
      <c r="G59" s="304">
        <f t="shared" si="2"/>
        <v>0</v>
      </c>
      <c r="H59" s="243"/>
    </row>
    <row r="60" spans="1:8" s="8" customFormat="1" ht="15.75" x14ac:dyDescent="0.25">
      <c r="A60" s="135" t="s">
        <v>748</v>
      </c>
      <c r="B60" s="134" t="s">
        <v>520</v>
      </c>
      <c r="C60" s="105">
        <f>C62</f>
        <v>500243</v>
      </c>
      <c r="D60" s="305">
        <f t="shared" si="10"/>
        <v>118978.679</v>
      </c>
      <c r="E60" s="105">
        <f>SUM(E61:E65)</f>
        <v>619221.679</v>
      </c>
      <c r="F60" s="105">
        <f t="shared" ref="F60" si="12">SUM(F61:F65)</f>
        <v>599698.03600000008</v>
      </c>
      <c r="G60" s="304">
        <f t="shared" si="2"/>
        <v>96.847067268134211</v>
      </c>
      <c r="H60" s="243"/>
    </row>
    <row r="61" spans="1:8" s="8" customFormat="1" ht="48" x14ac:dyDescent="0.25">
      <c r="A61" s="123" t="s">
        <v>747</v>
      </c>
      <c r="B61" s="197" t="s">
        <v>749</v>
      </c>
      <c r="C61" s="311">
        <v>500243</v>
      </c>
      <c r="D61" s="305">
        <f t="shared" si="10"/>
        <v>-467432.6</v>
      </c>
      <c r="E61" s="114">
        <v>32810.400000000001</v>
      </c>
      <c r="F61" s="114">
        <v>30993.929</v>
      </c>
      <c r="G61" s="309">
        <f t="shared" si="2"/>
        <v>94.463734059932207</v>
      </c>
      <c r="H61" s="243"/>
    </row>
    <row r="62" spans="1:8" s="8" customFormat="1" ht="48" x14ac:dyDescent="0.25">
      <c r="A62" s="123" t="s">
        <v>521</v>
      </c>
      <c r="B62" s="197" t="s">
        <v>522</v>
      </c>
      <c r="C62" s="311">
        <v>500243</v>
      </c>
      <c r="D62" s="305">
        <f t="shared" si="10"/>
        <v>0</v>
      </c>
      <c r="E62" s="128">
        <v>500243</v>
      </c>
      <c r="F62" s="128">
        <v>487695.27600000001</v>
      </c>
      <c r="G62" s="309">
        <f t="shared" si="2"/>
        <v>97.491674246316293</v>
      </c>
      <c r="H62" s="243"/>
    </row>
    <row r="63" spans="1:8" s="8" customFormat="1" ht="36" x14ac:dyDescent="0.25">
      <c r="A63" s="36" t="s">
        <v>722</v>
      </c>
      <c r="B63" s="306" t="s">
        <v>723</v>
      </c>
      <c r="C63" s="311"/>
      <c r="D63" s="305"/>
      <c r="E63" s="128">
        <v>836.02099999999996</v>
      </c>
      <c r="F63" s="128">
        <v>836.02099999999996</v>
      </c>
      <c r="G63" s="309">
        <f t="shared" si="2"/>
        <v>100</v>
      </c>
      <c r="H63" s="243"/>
    </row>
    <row r="64" spans="1:8" s="8" customFormat="1" ht="48" x14ac:dyDescent="0.25">
      <c r="A64" s="123" t="s">
        <v>737</v>
      </c>
      <c r="B64" s="197" t="s">
        <v>738</v>
      </c>
      <c r="C64" s="316"/>
      <c r="D64" s="317"/>
      <c r="E64" s="128">
        <v>27113.54</v>
      </c>
      <c r="F64" s="128">
        <v>27113.54</v>
      </c>
      <c r="G64" s="309">
        <f t="shared" si="2"/>
        <v>100</v>
      </c>
      <c r="H64" s="243"/>
    </row>
    <row r="65" spans="1:8" ht="48" x14ac:dyDescent="0.2">
      <c r="A65" s="36" t="s">
        <v>745</v>
      </c>
      <c r="B65" s="306" t="s">
        <v>746</v>
      </c>
      <c r="C65" s="311"/>
      <c r="D65" s="305"/>
      <c r="E65" s="128">
        <f>71233.84368-13015.12568</f>
        <v>58218.718000000008</v>
      </c>
      <c r="F65" s="128">
        <v>53059.27</v>
      </c>
      <c r="G65" s="309">
        <f t="shared" si="2"/>
        <v>91.137819283481974</v>
      </c>
      <c r="H65" s="235"/>
    </row>
    <row r="66" spans="1:8" ht="15" x14ac:dyDescent="0.2">
      <c r="A66" s="135" t="s">
        <v>896</v>
      </c>
      <c r="B66" s="134" t="s">
        <v>897</v>
      </c>
      <c r="C66" s="305"/>
      <c r="D66" s="305"/>
      <c r="E66" s="127"/>
      <c r="F66" s="127">
        <v>-550.44296999999995</v>
      </c>
      <c r="G66" s="304"/>
      <c r="H66" s="235"/>
    </row>
    <row r="67" spans="1:8" ht="15" x14ac:dyDescent="0.2">
      <c r="A67" s="324" t="s">
        <v>106</v>
      </c>
      <c r="B67" s="321" t="s">
        <v>107</v>
      </c>
      <c r="C67" s="323" t="e">
        <f>C9+C38</f>
        <v>#REF!</v>
      </c>
      <c r="D67" s="323" t="e">
        <f>E67-C67</f>
        <v>#REF!</v>
      </c>
      <c r="E67" s="325">
        <f>E9+E38</f>
        <v>5535188.9699900001</v>
      </c>
      <c r="F67" s="325">
        <f>F9+F37</f>
        <v>5473761.3443819992</v>
      </c>
      <c r="G67" s="322">
        <f t="shared" si="2"/>
        <v>98.890234354399794</v>
      </c>
      <c r="H67" s="235"/>
    </row>
    <row r="69" spans="1:8" ht="15.75" x14ac:dyDescent="0.25">
      <c r="A69" s="338" t="s">
        <v>967</v>
      </c>
      <c r="B69" s="338"/>
      <c r="C69" s="338"/>
      <c r="D69" s="338"/>
      <c r="E69" s="338"/>
      <c r="F69" s="338"/>
      <c r="G69" s="338"/>
    </row>
    <row r="84" spans="2:2" x14ac:dyDescent="0.2">
      <c r="B84" t="s">
        <v>349</v>
      </c>
    </row>
  </sheetData>
  <mergeCells count="7">
    <mergeCell ref="A69:G69"/>
    <mergeCell ref="B1:G1"/>
    <mergeCell ref="A2:G2"/>
    <mergeCell ref="A7:G7"/>
    <mergeCell ref="A4:G4"/>
    <mergeCell ref="A5:G5"/>
    <mergeCell ref="A6:G6"/>
  </mergeCells>
  <phoneticPr fontId="2" type="noConversion"/>
  <pageMargins left="0.59055118110236227" right="0.39370078740157483" top="0.59055118110236227" bottom="0.47244094488188981" header="0" footer="0"/>
  <pageSetup paperSize="9" scale="78" orientation="portrait" r:id="rId1"/>
  <headerFooter alignWithMargins="0">
    <oddFooter>&amp;C&amp;P</oddFooter>
  </headerFooter>
  <rowBreaks count="2" manualBreakCount="2">
    <brk id="41" max="6" man="1"/>
    <brk id="7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AF1066"/>
  <sheetViews>
    <sheetView view="pageBreakPreview" zoomScale="130" zoomScaleNormal="130" zoomScaleSheetLayoutView="130" workbookViewId="0">
      <selection activeCell="I963" sqref="I963"/>
    </sheetView>
  </sheetViews>
  <sheetFormatPr defaultRowHeight="12.75" x14ac:dyDescent="0.2"/>
  <cols>
    <col min="1" max="1" width="74.140625" style="2" customWidth="1"/>
    <col min="2" max="2" width="8.28515625" style="21" customWidth="1"/>
    <col min="3" max="3" width="7.7109375" style="21" customWidth="1"/>
    <col min="4" max="4" width="7" style="21" customWidth="1"/>
    <col min="5" max="5" width="13.42578125" style="21" customWidth="1"/>
    <col min="6" max="6" width="9" style="21" customWidth="1"/>
    <col min="7" max="7" width="13.140625" style="31" customWidth="1"/>
    <col min="8" max="8" width="14.7109375" style="31" customWidth="1"/>
    <col min="9" max="9" width="9.42578125" style="31" customWidth="1"/>
    <col min="10" max="32" width="9.140625" style="31"/>
  </cols>
  <sheetData>
    <row r="1" spans="1:9" ht="15" x14ac:dyDescent="0.25">
      <c r="A1" s="339" t="s">
        <v>884</v>
      </c>
      <c r="B1" s="339"/>
      <c r="C1" s="339"/>
      <c r="D1" s="339"/>
      <c r="E1" s="339"/>
      <c r="F1" s="339"/>
      <c r="G1" s="339"/>
      <c r="H1" s="339"/>
      <c r="I1" s="339"/>
    </row>
    <row r="2" spans="1:9" ht="15" x14ac:dyDescent="0.25">
      <c r="A2" s="339" t="s">
        <v>754</v>
      </c>
      <c r="B2" s="339"/>
      <c r="C2" s="339"/>
      <c r="D2" s="339"/>
      <c r="E2" s="339"/>
      <c r="F2" s="339"/>
      <c r="G2" s="339"/>
      <c r="H2" s="339"/>
      <c r="I2" s="339"/>
    </row>
    <row r="3" spans="1:9" ht="15" x14ac:dyDescent="0.25">
      <c r="A3" s="339" t="s">
        <v>885</v>
      </c>
      <c r="B3" s="339"/>
      <c r="C3" s="339"/>
      <c r="D3" s="339"/>
      <c r="E3" s="339"/>
      <c r="F3" s="339"/>
      <c r="G3" s="339"/>
      <c r="H3" s="339"/>
      <c r="I3" s="339"/>
    </row>
    <row r="4" spans="1:9" ht="15.75" x14ac:dyDescent="0.25">
      <c r="A4" s="343"/>
      <c r="B4" s="343"/>
      <c r="C4" s="343"/>
      <c r="D4" s="343"/>
      <c r="E4" s="343"/>
      <c r="F4" s="343"/>
    </row>
    <row r="5" spans="1:9" ht="15.75" x14ac:dyDescent="0.25">
      <c r="A5" s="336" t="s">
        <v>668</v>
      </c>
      <c r="B5" s="336"/>
      <c r="C5" s="336"/>
      <c r="D5" s="336"/>
      <c r="E5" s="336"/>
      <c r="F5" s="336"/>
      <c r="G5" s="336"/>
      <c r="H5" s="336"/>
      <c r="I5" s="336"/>
    </row>
    <row r="6" spans="1:9" ht="15.75" x14ac:dyDescent="0.25">
      <c r="A6" s="48"/>
      <c r="B6" s="48"/>
      <c r="C6" s="48"/>
      <c r="D6" s="48"/>
      <c r="E6" s="48"/>
      <c r="F6" s="48"/>
    </row>
    <row r="7" spans="1:9" x14ac:dyDescent="0.2">
      <c r="A7" s="344" t="s">
        <v>456</v>
      </c>
      <c r="B7" s="344"/>
      <c r="C7" s="344"/>
      <c r="D7" s="344"/>
      <c r="E7" s="344"/>
      <c r="F7" s="344"/>
      <c r="G7" s="344"/>
      <c r="H7" s="344"/>
      <c r="I7" s="344"/>
    </row>
    <row r="8" spans="1:9" ht="38.25" x14ac:dyDescent="0.2">
      <c r="A8" s="3" t="s">
        <v>110</v>
      </c>
      <c r="B8" s="3" t="s">
        <v>385</v>
      </c>
      <c r="C8" s="3" t="s">
        <v>33</v>
      </c>
      <c r="D8" s="3" t="s">
        <v>32</v>
      </c>
      <c r="E8" s="3" t="s">
        <v>111</v>
      </c>
      <c r="F8" s="3" t="s">
        <v>386</v>
      </c>
      <c r="G8" s="54" t="s">
        <v>767</v>
      </c>
      <c r="H8" s="54" t="s">
        <v>770</v>
      </c>
      <c r="I8" s="54" t="s">
        <v>766</v>
      </c>
    </row>
    <row r="9" spans="1:9" ht="15.75" customHeight="1" x14ac:dyDescent="0.2">
      <c r="A9" s="27" t="s">
        <v>113</v>
      </c>
      <c r="B9" s="20"/>
      <c r="C9" s="20"/>
      <c r="D9" s="20"/>
      <c r="E9" s="20"/>
      <c r="F9" s="20"/>
      <c r="G9" s="72">
        <f>G10+G197+G237+G279+G316+G392+G462+G541+G627+G641+G655+G769+G798+G827+G935+G967</f>
        <v>5667848.7935999995</v>
      </c>
      <c r="H9" s="72">
        <f>H10+H197+H237+H279+H316+H392+H462+H541+H627+H641+H655+H769+H798+H827+H935+H967</f>
        <v>5421291.0161100002</v>
      </c>
      <c r="I9" s="72">
        <f t="shared" ref="I9:I72" si="0">H9/G9*100</f>
        <v>95.649887876888911</v>
      </c>
    </row>
    <row r="10" spans="1:9" s="175" customFormat="1" ht="15.75" x14ac:dyDescent="0.2">
      <c r="A10" s="106" t="s">
        <v>452</v>
      </c>
      <c r="B10" s="109">
        <v>598</v>
      </c>
      <c r="C10" s="109"/>
      <c r="D10" s="109"/>
      <c r="E10" s="109"/>
      <c r="F10" s="109"/>
      <c r="G10" s="111">
        <f>G11+G108+G123+G153+G179</f>
        <v>293502.25192000001</v>
      </c>
      <c r="H10" s="111">
        <f>H11+H108+H123+H153+H179</f>
        <v>263219.18199000001</v>
      </c>
      <c r="I10" s="111">
        <f t="shared" si="0"/>
        <v>89.682167774898616</v>
      </c>
    </row>
    <row r="11" spans="1:9" s="175" customFormat="1" x14ac:dyDescent="0.2">
      <c r="A11" s="103" t="s">
        <v>114</v>
      </c>
      <c r="B11" s="104">
        <v>598</v>
      </c>
      <c r="C11" s="104" t="s">
        <v>76</v>
      </c>
      <c r="D11" s="104" t="s">
        <v>77</v>
      </c>
      <c r="E11" s="104"/>
      <c r="F11" s="104"/>
      <c r="G11" s="105">
        <f>G12+G18+G32+G38</f>
        <v>198462.06391999999</v>
      </c>
      <c r="H11" s="105">
        <f>H12+H18+H32+H38</f>
        <v>173111.73798999999</v>
      </c>
      <c r="I11" s="105">
        <f t="shared" si="0"/>
        <v>87.226613777321845</v>
      </c>
    </row>
    <row r="12" spans="1:9" s="175" customFormat="1" x14ac:dyDescent="0.2">
      <c r="A12" s="138" t="s">
        <v>74</v>
      </c>
      <c r="B12" s="118" t="s">
        <v>387</v>
      </c>
      <c r="C12" s="118" t="s">
        <v>76</v>
      </c>
      <c r="D12" s="118" t="s">
        <v>78</v>
      </c>
      <c r="E12" s="118" t="s">
        <v>206</v>
      </c>
      <c r="F12" s="118"/>
      <c r="G12" s="119">
        <f t="shared" ref="G12:H16" si="1">G13</f>
        <v>1727.1408699999999</v>
      </c>
      <c r="H12" s="119">
        <f t="shared" si="1"/>
        <v>1727.1386199999999</v>
      </c>
      <c r="I12" s="119">
        <f t="shared" si="0"/>
        <v>99.999869726897259</v>
      </c>
    </row>
    <row r="13" spans="1:9" s="175" customFormat="1" x14ac:dyDescent="0.2">
      <c r="A13" s="120" t="s">
        <v>297</v>
      </c>
      <c r="B13" s="104" t="s">
        <v>387</v>
      </c>
      <c r="C13" s="104" t="s">
        <v>76</v>
      </c>
      <c r="D13" s="104" t="s">
        <v>78</v>
      </c>
      <c r="E13" s="104" t="s">
        <v>207</v>
      </c>
      <c r="F13" s="104"/>
      <c r="G13" s="105">
        <f t="shared" si="1"/>
        <v>1727.1408699999999</v>
      </c>
      <c r="H13" s="105">
        <f t="shared" si="1"/>
        <v>1727.1386199999999</v>
      </c>
      <c r="I13" s="105">
        <f t="shared" si="0"/>
        <v>99.999869726897259</v>
      </c>
    </row>
    <row r="14" spans="1:9" s="175" customFormat="1" ht="24" x14ac:dyDescent="0.2">
      <c r="A14" s="117" t="s">
        <v>306</v>
      </c>
      <c r="B14" s="118">
        <v>598</v>
      </c>
      <c r="C14" s="118" t="s">
        <v>76</v>
      </c>
      <c r="D14" s="118" t="s">
        <v>78</v>
      </c>
      <c r="E14" s="118" t="s">
        <v>207</v>
      </c>
      <c r="F14" s="132"/>
      <c r="G14" s="119">
        <f t="shared" si="1"/>
        <v>1727.1408699999999</v>
      </c>
      <c r="H14" s="119">
        <f t="shared" si="1"/>
        <v>1727.1386199999999</v>
      </c>
      <c r="I14" s="119">
        <f t="shared" si="0"/>
        <v>99.999869726897259</v>
      </c>
    </row>
    <row r="15" spans="1:9" s="175" customFormat="1" x14ac:dyDescent="0.2">
      <c r="A15" s="120" t="s">
        <v>296</v>
      </c>
      <c r="B15" s="104">
        <v>598</v>
      </c>
      <c r="C15" s="104" t="s">
        <v>76</v>
      </c>
      <c r="D15" s="104" t="s">
        <v>78</v>
      </c>
      <c r="E15" s="104" t="s">
        <v>208</v>
      </c>
      <c r="F15" s="104"/>
      <c r="G15" s="105">
        <f t="shared" si="1"/>
        <v>1727.1408699999999</v>
      </c>
      <c r="H15" s="105">
        <f t="shared" si="1"/>
        <v>1727.1386199999999</v>
      </c>
      <c r="I15" s="105">
        <f t="shared" si="0"/>
        <v>99.999869726897259</v>
      </c>
    </row>
    <row r="16" spans="1:9" s="175" customFormat="1" ht="36" x14ac:dyDescent="0.2">
      <c r="A16" s="112" t="s">
        <v>79</v>
      </c>
      <c r="B16" s="113" t="s">
        <v>387</v>
      </c>
      <c r="C16" s="113" t="s">
        <v>76</v>
      </c>
      <c r="D16" s="113" t="s">
        <v>78</v>
      </c>
      <c r="E16" s="113" t="s">
        <v>208</v>
      </c>
      <c r="F16" s="113" t="s">
        <v>80</v>
      </c>
      <c r="G16" s="114">
        <f t="shared" si="1"/>
        <v>1727.1408699999999</v>
      </c>
      <c r="H16" s="114">
        <f t="shared" si="1"/>
        <v>1727.1386199999999</v>
      </c>
      <c r="I16" s="114">
        <f t="shared" si="0"/>
        <v>99.999869726897259</v>
      </c>
    </row>
    <row r="17" spans="1:9" s="175" customFormat="1" x14ac:dyDescent="0.2">
      <c r="A17" s="112" t="s">
        <v>81</v>
      </c>
      <c r="B17" s="113" t="s">
        <v>387</v>
      </c>
      <c r="C17" s="113" t="s">
        <v>76</v>
      </c>
      <c r="D17" s="113" t="s">
        <v>78</v>
      </c>
      <c r="E17" s="113" t="s">
        <v>208</v>
      </c>
      <c r="F17" s="113" t="s">
        <v>82</v>
      </c>
      <c r="G17" s="114">
        <f>1870-142.85913</f>
        <v>1727.1408699999999</v>
      </c>
      <c r="H17" s="114">
        <v>1727.1386199999999</v>
      </c>
      <c r="I17" s="114">
        <f t="shared" si="0"/>
        <v>99.999869726897259</v>
      </c>
    </row>
    <row r="18" spans="1:9" s="175" customFormat="1" ht="36" x14ac:dyDescent="0.2">
      <c r="A18" s="103" t="s">
        <v>305</v>
      </c>
      <c r="B18" s="104">
        <v>598</v>
      </c>
      <c r="C18" s="104" t="s">
        <v>76</v>
      </c>
      <c r="D18" s="104" t="s">
        <v>78</v>
      </c>
      <c r="E18" s="104"/>
      <c r="F18" s="104"/>
      <c r="G18" s="105">
        <f>G19</f>
        <v>85344.673049999998</v>
      </c>
      <c r="H18" s="105">
        <f>H19</f>
        <v>79810.702990000005</v>
      </c>
      <c r="I18" s="105">
        <f t="shared" si="0"/>
        <v>93.515740511703811</v>
      </c>
    </row>
    <row r="19" spans="1:9" s="175" customFormat="1" x14ac:dyDescent="0.2">
      <c r="A19" s="138" t="s">
        <v>74</v>
      </c>
      <c r="B19" s="118" t="s">
        <v>387</v>
      </c>
      <c r="C19" s="118" t="s">
        <v>76</v>
      </c>
      <c r="D19" s="118" t="s">
        <v>78</v>
      </c>
      <c r="E19" s="118" t="s">
        <v>209</v>
      </c>
      <c r="F19" s="118"/>
      <c r="G19" s="119">
        <f>G20</f>
        <v>85344.673049999998</v>
      </c>
      <c r="H19" s="119">
        <f>H20</f>
        <v>79810.702990000005</v>
      </c>
      <c r="I19" s="119">
        <f t="shared" si="0"/>
        <v>93.515740511703811</v>
      </c>
    </row>
    <row r="20" spans="1:9" s="175" customFormat="1" x14ac:dyDescent="0.2">
      <c r="A20" s="120" t="s">
        <v>297</v>
      </c>
      <c r="B20" s="104" t="s">
        <v>387</v>
      </c>
      <c r="C20" s="104" t="s">
        <v>76</v>
      </c>
      <c r="D20" s="104" t="s">
        <v>78</v>
      </c>
      <c r="E20" s="104" t="s">
        <v>210</v>
      </c>
      <c r="F20" s="118"/>
      <c r="G20" s="105">
        <f>G21+G24+G29</f>
        <v>85344.673049999998</v>
      </c>
      <c r="H20" s="105">
        <f>H21+H24+H29</f>
        <v>79810.702990000005</v>
      </c>
      <c r="I20" s="105">
        <f t="shared" si="0"/>
        <v>93.515740511703811</v>
      </c>
    </row>
    <row r="21" spans="1:9" s="175" customFormat="1" x14ac:dyDescent="0.2">
      <c r="A21" s="120" t="s">
        <v>26</v>
      </c>
      <c r="B21" s="104" t="s">
        <v>387</v>
      </c>
      <c r="C21" s="104" t="s">
        <v>76</v>
      </c>
      <c r="D21" s="104" t="s">
        <v>78</v>
      </c>
      <c r="E21" s="104" t="s">
        <v>211</v>
      </c>
      <c r="F21" s="104"/>
      <c r="G21" s="105">
        <f>G22</f>
        <v>67777.787349999999</v>
      </c>
      <c r="H21" s="105">
        <f>H22</f>
        <v>67147.162349999999</v>
      </c>
      <c r="I21" s="105">
        <f t="shared" si="0"/>
        <v>99.069569803535344</v>
      </c>
    </row>
    <row r="22" spans="1:9" s="175" customFormat="1" ht="36" x14ac:dyDescent="0.2">
      <c r="A22" s="112" t="s">
        <v>79</v>
      </c>
      <c r="B22" s="113" t="s">
        <v>387</v>
      </c>
      <c r="C22" s="113" t="s">
        <v>76</v>
      </c>
      <c r="D22" s="113" t="s">
        <v>78</v>
      </c>
      <c r="E22" s="113" t="s">
        <v>211</v>
      </c>
      <c r="F22" s="113" t="s">
        <v>80</v>
      </c>
      <c r="G22" s="114">
        <f>G23</f>
        <v>67777.787349999999</v>
      </c>
      <c r="H22" s="114">
        <f>H23</f>
        <v>67147.162349999999</v>
      </c>
      <c r="I22" s="114">
        <f t="shared" si="0"/>
        <v>99.069569803535344</v>
      </c>
    </row>
    <row r="23" spans="1:9" s="175" customFormat="1" x14ac:dyDescent="0.2">
      <c r="A23" s="112" t="s">
        <v>81</v>
      </c>
      <c r="B23" s="113" t="s">
        <v>387</v>
      </c>
      <c r="C23" s="113" t="s">
        <v>76</v>
      </c>
      <c r="D23" s="113" t="s">
        <v>78</v>
      </c>
      <c r="E23" s="113" t="s">
        <v>211</v>
      </c>
      <c r="F23" s="113" t="s">
        <v>82</v>
      </c>
      <c r="G23" s="114">
        <f>51220+200+15430+100+940-3462.21265+3350</f>
        <v>67777.787349999999</v>
      </c>
      <c r="H23" s="114">
        <v>67147.162349999999</v>
      </c>
      <c r="I23" s="114">
        <f t="shared" si="0"/>
        <v>99.069569803535344</v>
      </c>
    </row>
    <row r="24" spans="1:9" s="175" customFormat="1" x14ac:dyDescent="0.2">
      <c r="A24" s="103" t="s">
        <v>83</v>
      </c>
      <c r="B24" s="104" t="s">
        <v>387</v>
      </c>
      <c r="C24" s="104" t="s">
        <v>76</v>
      </c>
      <c r="D24" s="104" t="s">
        <v>78</v>
      </c>
      <c r="E24" s="104" t="s">
        <v>212</v>
      </c>
      <c r="F24" s="104"/>
      <c r="G24" s="105">
        <f>G25+G27</f>
        <v>15602</v>
      </c>
      <c r="H24" s="105">
        <f>H25+H27</f>
        <v>10698.65494</v>
      </c>
      <c r="I24" s="105">
        <f t="shared" si="0"/>
        <v>68.572330085886421</v>
      </c>
    </row>
    <row r="25" spans="1:9" s="175" customFormat="1" x14ac:dyDescent="0.2">
      <c r="A25" s="112" t="s">
        <v>294</v>
      </c>
      <c r="B25" s="113" t="s">
        <v>387</v>
      </c>
      <c r="C25" s="113" t="s">
        <v>76</v>
      </c>
      <c r="D25" s="113" t="s">
        <v>78</v>
      </c>
      <c r="E25" s="113" t="s">
        <v>212</v>
      </c>
      <c r="F25" s="113" t="s">
        <v>84</v>
      </c>
      <c r="G25" s="114">
        <f>G26</f>
        <v>14462</v>
      </c>
      <c r="H25" s="114">
        <f>H26</f>
        <v>9638.7490099999995</v>
      </c>
      <c r="I25" s="114">
        <f t="shared" si="0"/>
        <v>66.648796916055858</v>
      </c>
    </row>
    <row r="26" spans="1:9" s="175" customFormat="1" x14ac:dyDescent="0.2">
      <c r="A26" s="112" t="s">
        <v>85</v>
      </c>
      <c r="B26" s="113" t="s">
        <v>387</v>
      </c>
      <c r="C26" s="113" t="s">
        <v>76</v>
      </c>
      <c r="D26" s="113" t="s">
        <v>78</v>
      </c>
      <c r="E26" s="113" t="s">
        <v>212</v>
      </c>
      <c r="F26" s="113" t="s">
        <v>86</v>
      </c>
      <c r="G26" s="114">
        <f>17812-3350</f>
        <v>14462</v>
      </c>
      <c r="H26" s="114">
        <v>9638.7490099999995</v>
      </c>
      <c r="I26" s="114">
        <f t="shared" si="0"/>
        <v>66.648796916055858</v>
      </c>
    </row>
    <row r="27" spans="1:9" s="175" customFormat="1" x14ac:dyDescent="0.2">
      <c r="A27" s="112" t="s">
        <v>87</v>
      </c>
      <c r="B27" s="113" t="s">
        <v>387</v>
      </c>
      <c r="C27" s="113" t="s">
        <v>76</v>
      </c>
      <c r="D27" s="113" t="s">
        <v>78</v>
      </c>
      <c r="E27" s="113" t="s">
        <v>212</v>
      </c>
      <c r="F27" s="113" t="s">
        <v>88</v>
      </c>
      <c r="G27" s="114">
        <f>G28</f>
        <v>1140</v>
      </c>
      <c r="H27" s="114">
        <f>H28</f>
        <v>1059.9059299999999</v>
      </c>
      <c r="I27" s="114">
        <f t="shared" si="0"/>
        <v>92.974204385964896</v>
      </c>
    </row>
    <row r="28" spans="1:9" s="175" customFormat="1" x14ac:dyDescent="0.2">
      <c r="A28" s="112" t="s">
        <v>500</v>
      </c>
      <c r="B28" s="113" t="s">
        <v>387</v>
      </c>
      <c r="C28" s="113" t="s">
        <v>76</v>
      </c>
      <c r="D28" s="113" t="s">
        <v>78</v>
      </c>
      <c r="E28" s="113" t="s">
        <v>212</v>
      </c>
      <c r="F28" s="113" t="s">
        <v>89</v>
      </c>
      <c r="G28" s="114">
        <f>640+500</f>
        <v>1140</v>
      </c>
      <c r="H28" s="114">
        <v>1059.9059299999999</v>
      </c>
      <c r="I28" s="114">
        <f t="shared" si="0"/>
        <v>92.974204385964896</v>
      </c>
    </row>
    <row r="29" spans="1:9" s="175" customFormat="1" ht="24" x14ac:dyDescent="0.2">
      <c r="A29" s="117" t="s">
        <v>768</v>
      </c>
      <c r="B29" s="118" t="s">
        <v>387</v>
      </c>
      <c r="C29" s="118" t="s">
        <v>76</v>
      </c>
      <c r="D29" s="118" t="s">
        <v>78</v>
      </c>
      <c r="E29" s="118" t="s">
        <v>769</v>
      </c>
      <c r="F29" s="118"/>
      <c r="G29" s="119">
        <f>G30</f>
        <v>1964.8857</v>
      </c>
      <c r="H29" s="119">
        <f>H30</f>
        <v>1964.8857</v>
      </c>
      <c r="I29" s="119">
        <f t="shared" si="0"/>
        <v>100</v>
      </c>
    </row>
    <row r="30" spans="1:9" s="175" customFormat="1" ht="36" x14ac:dyDescent="0.2">
      <c r="A30" s="112" t="s">
        <v>79</v>
      </c>
      <c r="B30" s="113" t="s">
        <v>387</v>
      </c>
      <c r="C30" s="113" t="s">
        <v>76</v>
      </c>
      <c r="D30" s="113" t="s">
        <v>78</v>
      </c>
      <c r="E30" s="113" t="s">
        <v>769</v>
      </c>
      <c r="F30" s="113" t="s">
        <v>80</v>
      </c>
      <c r="G30" s="114">
        <f>G31</f>
        <v>1964.8857</v>
      </c>
      <c r="H30" s="114">
        <f>H31</f>
        <v>1964.8857</v>
      </c>
      <c r="I30" s="114">
        <f t="shared" si="0"/>
        <v>100</v>
      </c>
    </row>
    <row r="31" spans="1:9" s="175" customFormat="1" x14ac:dyDescent="0.2">
      <c r="A31" s="112" t="s">
        <v>81</v>
      </c>
      <c r="B31" s="113" t="s">
        <v>387</v>
      </c>
      <c r="C31" s="113" t="s">
        <v>76</v>
      </c>
      <c r="D31" s="113" t="s">
        <v>78</v>
      </c>
      <c r="E31" s="113" t="s">
        <v>769</v>
      </c>
      <c r="F31" s="113" t="s">
        <v>82</v>
      </c>
      <c r="G31" s="114">
        <v>1964.8857</v>
      </c>
      <c r="H31" s="114">
        <v>1964.8857</v>
      </c>
      <c r="I31" s="114">
        <f t="shared" si="0"/>
        <v>100</v>
      </c>
    </row>
    <row r="32" spans="1:9" s="175" customFormat="1" x14ac:dyDescent="0.2">
      <c r="A32" s="103" t="s">
        <v>310</v>
      </c>
      <c r="B32" s="104">
        <v>598</v>
      </c>
      <c r="C32" s="104" t="s">
        <v>76</v>
      </c>
      <c r="D32" s="104" t="s">
        <v>90</v>
      </c>
      <c r="E32" s="104"/>
      <c r="F32" s="104"/>
      <c r="G32" s="105">
        <f t="shared" ref="G32:H36" si="2">G33</f>
        <v>8300</v>
      </c>
      <c r="H32" s="127">
        <f t="shared" si="2"/>
        <v>0</v>
      </c>
      <c r="I32" s="127">
        <f t="shared" si="0"/>
        <v>0</v>
      </c>
    </row>
    <row r="33" spans="1:9" s="200" customFormat="1" x14ac:dyDescent="0.2">
      <c r="A33" s="138" t="s">
        <v>74</v>
      </c>
      <c r="B33" s="118">
        <v>598</v>
      </c>
      <c r="C33" s="118" t="s">
        <v>76</v>
      </c>
      <c r="D33" s="118" t="s">
        <v>90</v>
      </c>
      <c r="E33" s="118" t="s">
        <v>209</v>
      </c>
      <c r="F33" s="118"/>
      <c r="G33" s="119">
        <f t="shared" si="2"/>
        <v>8300</v>
      </c>
      <c r="H33" s="129">
        <f t="shared" si="2"/>
        <v>0</v>
      </c>
      <c r="I33" s="129">
        <f t="shared" si="0"/>
        <v>0</v>
      </c>
    </row>
    <row r="34" spans="1:9" s="200" customFormat="1" x14ac:dyDescent="0.2">
      <c r="A34" s="120" t="s">
        <v>297</v>
      </c>
      <c r="B34" s="104" t="s">
        <v>387</v>
      </c>
      <c r="C34" s="104" t="s">
        <v>76</v>
      </c>
      <c r="D34" s="104" t="s">
        <v>90</v>
      </c>
      <c r="E34" s="104" t="s">
        <v>210</v>
      </c>
      <c r="F34" s="104"/>
      <c r="G34" s="105">
        <f t="shared" si="2"/>
        <v>8300</v>
      </c>
      <c r="H34" s="127">
        <f t="shared" si="2"/>
        <v>0</v>
      </c>
      <c r="I34" s="127">
        <f t="shared" si="0"/>
        <v>0</v>
      </c>
    </row>
    <row r="35" spans="1:9" s="201" customFormat="1" x14ac:dyDescent="0.2">
      <c r="A35" s="112" t="s">
        <v>91</v>
      </c>
      <c r="B35" s="118">
        <v>598</v>
      </c>
      <c r="C35" s="118" t="s">
        <v>76</v>
      </c>
      <c r="D35" s="118" t="s">
        <v>90</v>
      </c>
      <c r="E35" s="118" t="s">
        <v>314</v>
      </c>
      <c r="F35" s="118"/>
      <c r="G35" s="119">
        <f t="shared" si="2"/>
        <v>8300</v>
      </c>
      <c r="H35" s="129">
        <f t="shared" si="2"/>
        <v>0</v>
      </c>
      <c r="I35" s="129">
        <f t="shared" si="0"/>
        <v>0</v>
      </c>
    </row>
    <row r="36" spans="1:9" s="115" customFormat="1" x14ac:dyDescent="0.2">
      <c r="A36" s="112" t="s">
        <v>87</v>
      </c>
      <c r="B36" s="113">
        <v>598</v>
      </c>
      <c r="C36" s="113" t="s">
        <v>76</v>
      </c>
      <c r="D36" s="113" t="s">
        <v>90</v>
      </c>
      <c r="E36" s="113" t="s">
        <v>314</v>
      </c>
      <c r="F36" s="113" t="s">
        <v>88</v>
      </c>
      <c r="G36" s="114">
        <f t="shared" si="2"/>
        <v>8300</v>
      </c>
      <c r="H36" s="128">
        <f t="shared" si="2"/>
        <v>0</v>
      </c>
      <c r="I36" s="128">
        <f t="shared" si="0"/>
        <v>0</v>
      </c>
    </row>
    <row r="37" spans="1:9" s="115" customFormat="1" x14ac:dyDescent="0.2">
      <c r="A37" s="112" t="s">
        <v>92</v>
      </c>
      <c r="B37" s="113">
        <v>598</v>
      </c>
      <c r="C37" s="113" t="s">
        <v>76</v>
      </c>
      <c r="D37" s="113" t="s">
        <v>90</v>
      </c>
      <c r="E37" s="113" t="s">
        <v>314</v>
      </c>
      <c r="F37" s="113" t="s">
        <v>421</v>
      </c>
      <c r="G37" s="114">
        <f>3000+10000-4400-300</f>
        <v>8300</v>
      </c>
      <c r="H37" s="128">
        <v>0</v>
      </c>
      <c r="I37" s="128">
        <f t="shared" si="0"/>
        <v>0</v>
      </c>
    </row>
    <row r="38" spans="1:9" s="175" customFormat="1" x14ac:dyDescent="0.2">
      <c r="A38" s="103" t="s">
        <v>311</v>
      </c>
      <c r="B38" s="104" t="s">
        <v>387</v>
      </c>
      <c r="C38" s="104" t="s">
        <v>76</v>
      </c>
      <c r="D38" s="104" t="s">
        <v>93</v>
      </c>
      <c r="E38" s="104"/>
      <c r="F38" s="104"/>
      <c r="G38" s="105">
        <f>G39+G69+G103</f>
        <v>103090.25</v>
      </c>
      <c r="H38" s="105">
        <f>H39+H69+H103</f>
        <v>91573.896380000006</v>
      </c>
      <c r="I38" s="105">
        <f t="shared" si="0"/>
        <v>88.828862457894914</v>
      </c>
    </row>
    <row r="39" spans="1:9" s="175" customFormat="1" x14ac:dyDescent="0.2">
      <c r="A39" s="138" t="s">
        <v>74</v>
      </c>
      <c r="B39" s="118">
        <v>598</v>
      </c>
      <c r="C39" s="118" t="s">
        <v>76</v>
      </c>
      <c r="D39" s="118" t="s">
        <v>93</v>
      </c>
      <c r="E39" s="118" t="s">
        <v>209</v>
      </c>
      <c r="F39" s="118"/>
      <c r="G39" s="119">
        <f>G40</f>
        <v>64147</v>
      </c>
      <c r="H39" s="119">
        <f>H40</f>
        <v>59109.628490000003</v>
      </c>
      <c r="I39" s="119">
        <f t="shared" si="0"/>
        <v>92.147144044148604</v>
      </c>
    </row>
    <row r="40" spans="1:9" s="175" customFormat="1" x14ac:dyDescent="0.2">
      <c r="A40" s="103" t="s">
        <v>297</v>
      </c>
      <c r="B40" s="104" t="s">
        <v>387</v>
      </c>
      <c r="C40" s="104" t="s">
        <v>76</v>
      </c>
      <c r="D40" s="104" t="s">
        <v>93</v>
      </c>
      <c r="E40" s="104" t="s">
        <v>210</v>
      </c>
      <c r="F40" s="104"/>
      <c r="G40" s="105">
        <f>G41+G59+G62+G65</f>
        <v>64147</v>
      </c>
      <c r="H40" s="105">
        <f>H41+H59+H62+H65</f>
        <v>59109.628490000003</v>
      </c>
      <c r="I40" s="105">
        <f t="shared" si="0"/>
        <v>92.147144044148604</v>
      </c>
    </row>
    <row r="41" spans="1:9" s="175" customFormat="1" x14ac:dyDescent="0.2">
      <c r="A41" s="136" t="s">
        <v>471</v>
      </c>
      <c r="B41" s="132" t="s">
        <v>387</v>
      </c>
      <c r="C41" s="132" t="s">
        <v>76</v>
      </c>
      <c r="D41" s="132" t="s">
        <v>93</v>
      </c>
      <c r="E41" s="132" t="s">
        <v>210</v>
      </c>
      <c r="F41" s="118"/>
      <c r="G41" s="137">
        <f>G42+G49+G52</f>
        <v>53797</v>
      </c>
      <c r="H41" s="137">
        <f>H42+H49+H52</f>
        <v>52514.894650000002</v>
      </c>
      <c r="I41" s="137">
        <f t="shared" si="0"/>
        <v>97.616771660129757</v>
      </c>
    </row>
    <row r="42" spans="1:9" s="175" customFormat="1" ht="24" x14ac:dyDescent="0.2">
      <c r="A42" s="103" t="s">
        <v>526</v>
      </c>
      <c r="B42" s="104" t="s">
        <v>387</v>
      </c>
      <c r="C42" s="104" t="s">
        <v>76</v>
      </c>
      <c r="D42" s="104" t="s">
        <v>93</v>
      </c>
      <c r="E42" s="104" t="s">
        <v>315</v>
      </c>
      <c r="F42" s="104"/>
      <c r="G42" s="105">
        <f>G43+G45+G47</f>
        <v>42202</v>
      </c>
      <c r="H42" s="105">
        <f>H43+H45+H47</f>
        <v>42163.167240000002</v>
      </c>
      <c r="I42" s="105">
        <f t="shared" si="0"/>
        <v>99.907983602672871</v>
      </c>
    </row>
    <row r="43" spans="1:9" s="175" customFormat="1" ht="36" x14ac:dyDescent="0.2">
      <c r="A43" s="112" t="s">
        <v>79</v>
      </c>
      <c r="B43" s="113" t="s">
        <v>387</v>
      </c>
      <c r="C43" s="113" t="s">
        <v>76</v>
      </c>
      <c r="D43" s="113" t="s">
        <v>93</v>
      </c>
      <c r="E43" s="113" t="s">
        <v>315</v>
      </c>
      <c r="F43" s="113" t="s">
        <v>80</v>
      </c>
      <c r="G43" s="114">
        <f>G44</f>
        <v>35160</v>
      </c>
      <c r="H43" s="114">
        <f>H44</f>
        <v>35160</v>
      </c>
      <c r="I43" s="114">
        <f t="shared" si="0"/>
        <v>100</v>
      </c>
    </row>
    <row r="44" spans="1:9" s="175" customFormat="1" x14ac:dyDescent="0.2">
      <c r="A44" s="112" t="s">
        <v>472</v>
      </c>
      <c r="B44" s="113" t="s">
        <v>387</v>
      </c>
      <c r="C44" s="113" t="s">
        <v>76</v>
      </c>
      <c r="D44" s="113" t="s">
        <v>93</v>
      </c>
      <c r="E44" s="113" t="s">
        <v>315</v>
      </c>
      <c r="F44" s="113" t="s">
        <v>473</v>
      </c>
      <c r="G44" s="114">
        <f>26240+100+7920-1000+1900</f>
        <v>35160</v>
      </c>
      <c r="H44" s="114">
        <v>35160</v>
      </c>
      <c r="I44" s="114">
        <f t="shared" si="0"/>
        <v>100</v>
      </c>
    </row>
    <row r="45" spans="1:9" s="175" customFormat="1" x14ac:dyDescent="0.2">
      <c r="A45" s="112" t="s">
        <v>294</v>
      </c>
      <c r="B45" s="113" t="s">
        <v>387</v>
      </c>
      <c r="C45" s="113" t="s">
        <v>76</v>
      </c>
      <c r="D45" s="113" t="s">
        <v>93</v>
      </c>
      <c r="E45" s="113" t="s">
        <v>315</v>
      </c>
      <c r="F45" s="113" t="s">
        <v>84</v>
      </c>
      <c r="G45" s="114">
        <f>G46</f>
        <v>6881.93595</v>
      </c>
      <c r="H45" s="114">
        <f>H46</f>
        <v>6843.1031899999998</v>
      </c>
      <c r="I45" s="114">
        <f t="shared" si="0"/>
        <v>99.435729127935275</v>
      </c>
    </row>
    <row r="46" spans="1:9" s="175" customFormat="1" x14ac:dyDescent="0.2">
      <c r="A46" s="112" t="s">
        <v>85</v>
      </c>
      <c r="B46" s="113" t="s">
        <v>387</v>
      </c>
      <c r="C46" s="113" t="s">
        <v>76</v>
      </c>
      <c r="D46" s="113" t="s">
        <v>93</v>
      </c>
      <c r="E46" s="113" t="s">
        <v>315</v>
      </c>
      <c r="F46" s="113" t="s">
        <v>86</v>
      </c>
      <c r="G46" s="114">
        <f>130+1400+50+100+6012+1000-1810.06405</f>
        <v>6881.93595</v>
      </c>
      <c r="H46" s="114">
        <v>6843.1031899999998</v>
      </c>
      <c r="I46" s="114">
        <f t="shared" si="0"/>
        <v>99.435729127935275</v>
      </c>
    </row>
    <row r="47" spans="1:9" s="175" customFormat="1" x14ac:dyDescent="0.2">
      <c r="A47" s="112" t="s">
        <v>87</v>
      </c>
      <c r="B47" s="113" t="s">
        <v>387</v>
      </c>
      <c r="C47" s="113" t="s">
        <v>76</v>
      </c>
      <c r="D47" s="113" t="s">
        <v>93</v>
      </c>
      <c r="E47" s="113" t="s">
        <v>315</v>
      </c>
      <c r="F47" s="113" t="s">
        <v>88</v>
      </c>
      <c r="G47" s="114">
        <f>G48</f>
        <v>160.06405000000001</v>
      </c>
      <c r="H47" s="114">
        <f>H48</f>
        <v>160.06405000000001</v>
      </c>
      <c r="I47" s="114">
        <f t="shared" si="0"/>
        <v>100</v>
      </c>
    </row>
    <row r="48" spans="1:9" s="175" customFormat="1" x14ac:dyDescent="0.2">
      <c r="A48" s="112" t="s">
        <v>500</v>
      </c>
      <c r="B48" s="113" t="s">
        <v>387</v>
      </c>
      <c r="C48" s="113" t="s">
        <v>76</v>
      </c>
      <c r="D48" s="113" t="s">
        <v>93</v>
      </c>
      <c r="E48" s="113" t="s">
        <v>315</v>
      </c>
      <c r="F48" s="113" t="s">
        <v>89</v>
      </c>
      <c r="G48" s="114">
        <f>250-89.93595</f>
        <v>160.06405000000001</v>
      </c>
      <c r="H48" s="114">
        <v>160.06405000000001</v>
      </c>
      <c r="I48" s="114">
        <f t="shared" si="0"/>
        <v>100</v>
      </c>
    </row>
    <row r="49" spans="1:9" s="175" customFormat="1" ht="24" x14ac:dyDescent="0.2">
      <c r="A49" s="103" t="s">
        <v>128</v>
      </c>
      <c r="B49" s="104" t="s">
        <v>387</v>
      </c>
      <c r="C49" s="104" t="s">
        <v>76</v>
      </c>
      <c r="D49" s="104" t="s">
        <v>93</v>
      </c>
      <c r="E49" s="104" t="s">
        <v>320</v>
      </c>
      <c r="F49" s="104"/>
      <c r="G49" s="105">
        <f>G50</f>
        <v>2880</v>
      </c>
      <c r="H49" s="105">
        <f>H50</f>
        <v>2118.42346</v>
      </c>
      <c r="I49" s="105">
        <f t="shared" si="0"/>
        <v>73.556370138888894</v>
      </c>
    </row>
    <row r="50" spans="1:9" s="175" customFormat="1" ht="24" x14ac:dyDescent="0.2">
      <c r="A50" s="112" t="s">
        <v>104</v>
      </c>
      <c r="B50" s="113" t="s">
        <v>387</v>
      </c>
      <c r="C50" s="113" t="s">
        <v>76</v>
      </c>
      <c r="D50" s="113" t="s">
        <v>93</v>
      </c>
      <c r="E50" s="113" t="s">
        <v>320</v>
      </c>
      <c r="F50" s="113" t="s">
        <v>391</v>
      </c>
      <c r="G50" s="114">
        <f>G51</f>
        <v>2880</v>
      </c>
      <c r="H50" s="114">
        <f>H51</f>
        <v>2118.42346</v>
      </c>
      <c r="I50" s="114">
        <f t="shared" si="0"/>
        <v>73.556370138888894</v>
      </c>
    </row>
    <row r="51" spans="1:9" s="175" customFormat="1" x14ac:dyDescent="0.2">
      <c r="A51" s="112" t="s">
        <v>105</v>
      </c>
      <c r="B51" s="113" t="s">
        <v>387</v>
      </c>
      <c r="C51" s="113" t="s">
        <v>76</v>
      </c>
      <c r="D51" s="113" t="s">
        <v>93</v>
      </c>
      <c r="E51" s="113" t="s">
        <v>320</v>
      </c>
      <c r="F51" s="113" t="s">
        <v>409</v>
      </c>
      <c r="G51" s="114">
        <v>2880</v>
      </c>
      <c r="H51" s="114">
        <v>2118.42346</v>
      </c>
      <c r="I51" s="114">
        <f t="shared" si="0"/>
        <v>73.556370138888894</v>
      </c>
    </row>
    <row r="52" spans="1:9" s="175" customFormat="1" ht="24" x14ac:dyDescent="0.2">
      <c r="A52" s="103" t="s">
        <v>687</v>
      </c>
      <c r="B52" s="104" t="s">
        <v>387</v>
      </c>
      <c r="C52" s="104" t="s">
        <v>76</v>
      </c>
      <c r="D52" s="104" t="s">
        <v>93</v>
      </c>
      <c r="E52" s="104" t="s">
        <v>321</v>
      </c>
      <c r="F52" s="104"/>
      <c r="G52" s="105">
        <f>G53+G55+G57</f>
        <v>8715</v>
      </c>
      <c r="H52" s="105">
        <f>H53+H55+H57</f>
        <v>8233.3039499999995</v>
      </c>
      <c r="I52" s="105">
        <f t="shared" si="0"/>
        <v>94.472793459552491</v>
      </c>
    </row>
    <row r="53" spans="1:9" s="175" customFormat="1" ht="36" x14ac:dyDescent="0.2">
      <c r="A53" s="112" t="s">
        <v>79</v>
      </c>
      <c r="B53" s="113" t="s">
        <v>387</v>
      </c>
      <c r="C53" s="113" t="s">
        <v>76</v>
      </c>
      <c r="D53" s="113" t="s">
        <v>93</v>
      </c>
      <c r="E53" s="113" t="s">
        <v>321</v>
      </c>
      <c r="F53" s="113" t="s">
        <v>80</v>
      </c>
      <c r="G53" s="114">
        <f>G54</f>
        <v>8365</v>
      </c>
      <c r="H53" s="114">
        <f>H54</f>
        <v>7951.9695700000002</v>
      </c>
      <c r="I53" s="114">
        <f t="shared" si="0"/>
        <v>95.062397728631211</v>
      </c>
    </row>
    <row r="54" spans="1:9" s="175" customFormat="1" x14ac:dyDescent="0.2">
      <c r="A54" s="112" t="s">
        <v>472</v>
      </c>
      <c r="B54" s="113" t="s">
        <v>387</v>
      </c>
      <c r="C54" s="113" t="s">
        <v>76</v>
      </c>
      <c r="D54" s="113" t="s">
        <v>93</v>
      </c>
      <c r="E54" s="113" t="s">
        <v>321</v>
      </c>
      <c r="F54" s="113" t="s">
        <v>473</v>
      </c>
      <c r="G54" s="114">
        <f>6305+12+1903+25+120</f>
        <v>8365</v>
      </c>
      <c r="H54" s="114">
        <v>7951.9695700000002</v>
      </c>
      <c r="I54" s="114">
        <f t="shared" si="0"/>
        <v>95.062397728631211</v>
      </c>
    </row>
    <row r="55" spans="1:9" s="175" customFormat="1" x14ac:dyDescent="0.2">
      <c r="A55" s="112" t="s">
        <v>294</v>
      </c>
      <c r="B55" s="113" t="s">
        <v>387</v>
      </c>
      <c r="C55" s="113" t="s">
        <v>76</v>
      </c>
      <c r="D55" s="113" t="s">
        <v>93</v>
      </c>
      <c r="E55" s="113" t="s">
        <v>321</v>
      </c>
      <c r="F55" s="113" t="s">
        <v>84</v>
      </c>
      <c r="G55" s="114">
        <f>G56</f>
        <v>335</v>
      </c>
      <c r="H55" s="114">
        <f>H56</f>
        <v>274.53438</v>
      </c>
      <c r="I55" s="114">
        <f t="shared" si="0"/>
        <v>81.950561194029845</v>
      </c>
    </row>
    <row r="56" spans="1:9" s="175" customFormat="1" x14ac:dyDescent="0.2">
      <c r="A56" s="112" t="s">
        <v>85</v>
      </c>
      <c r="B56" s="113" t="s">
        <v>387</v>
      </c>
      <c r="C56" s="113" t="s">
        <v>76</v>
      </c>
      <c r="D56" s="113" t="s">
        <v>93</v>
      </c>
      <c r="E56" s="113" t="s">
        <v>321</v>
      </c>
      <c r="F56" s="113" t="s">
        <v>86</v>
      </c>
      <c r="G56" s="114">
        <f>10+30+185+40+70</f>
        <v>335</v>
      </c>
      <c r="H56" s="114">
        <v>274.53438</v>
      </c>
      <c r="I56" s="114">
        <f t="shared" si="0"/>
        <v>81.950561194029845</v>
      </c>
    </row>
    <row r="57" spans="1:9" s="175" customFormat="1" x14ac:dyDescent="0.2">
      <c r="A57" s="112" t="s">
        <v>87</v>
      </c>
      <c r="B57" s="113" t="s">
        <v>387</v>
      </c>
      <c r="C57" s="113" t="s">
        <v>76</v>
      </c>
      <c r="D57" s="113" t="s">
        <v>93</v>
      </c>
      <c r="E57" s="113" t="s">
        <v>321</v>
      </c>
      <c r="F57" s="113" t="s">
        <v>88</v>
      </c>
      <c r="G57" s="114">
        <f>G58</f>
        <v>15</v>
      </c>
      <c r="H57" s="114">
        <f>H58</f>
        <v>6.8</v>
      </c>
      <c r="I57" s="114">
        <f t="shared" si="0"/>
        <v>45.333333333333329</v>
      </c>
    </row>
    <row r="58" spans="1:9" s="175" customFormat="1" x14ac:dyDescent="0.2">
      <c r="A58" s="112" t="s">
        <v>500</v>
      </c>
      <c r="B58" s="113" t="s">
        <v>387</v>
      </c>
      <c r="C58" s="113" t="s">
        <v>76</v>
      </c>
      <c r="D58" s="113" t="s">
        <v>93</v>
      </c>
      <c r="E58" s="113" t="s">
        <v>321</v>
      </c>
      <c r="F58" s="113" t="s">
        <v>89</v>
      </c>
      <c r="G58" s="114">
        <v>15</v>
      </c>
      <c r="H58" s="114">
        <v>6.8</v>
      </c>
      <c r="I58" s="114">
        <f t="shared" si="0"/>
        <v>45.333333333333329</v>
      </c>
    </row>
    <row r="59" spans="1:9" s="175" customFormat="1" ht="24" x14ac:dyDescent="0.2">
      <c r="A59" s="103" t="s">
        <v>130</v>
      </c>
      <c r="B59" s="104" t="s">
        <v>387</v>
      </c>
      <c r="C59" s="104" t="s">
        <v>76</v>
      </c>
      <c r="D59" s="104" t="s">
        <v>93</v>
      </c>
      <c r="E59" s="104" t="s">
        <v>57</v>
      </c>
      <c r="F59" s="104"/>
      <c r="G59" s="105">
        <f>G60</f>
        <v>3000</v>
      </c>
      <c r="H59" s="105">
        <f>H60</f>
        <v>1774</v>
      </c>
      <c r="I59" s="105">
        <f t="shared" si="0"/>
        <v>59.13333333333334</v>
      </c>
    </row>
    <row r="60" spans="1:9" s="175" customFormat="1" x14ac:dyDescent="0.2">
      <c r="A60" s="112" t="s">
        <v>87</v>
      </c>
      <c r="B60" s="113" t="s">
        <v>387</v>
      </c>
      <c r="C60" s="113" t="s">
        <v>76</v>
      </c>
      <c r="D60" s="113" t="s">
        <v>93</v>
      </c>
      <c r="E60" s="113" t="s">
        <v>57</v>
      </c>
      <c r="F60" s="113" t="s">
        <v>88</v>
      </c>
      <c r="G60" s="114">
        <f>G61</f>
        <v>3000</v>
      </c>
      <c r="H60" s="114">
        <f>H61</f>
        <v>1774</v>
      </c>
      <c r="I60" s="114">
        <f t="shared" si="0"/>
        <v>59.13333333333334</v>
      </c>
    </row>
    <row r="61" spans="1:9" s="175" customFormat="1" x14ac:dyDescent="0.2">
      <c r="A61" s="112" t="s">
        <v>500</v>
      </c>
      <c r="B61" s="113" t="s">
        <v>387</v>
      </c>
      <c r="C61" s="113" t="s">
        <v>76</v>
      </c>
      <c r="D61" s="113" t="s">
        <v>93</v>
      </c>
      <c r="E61" s="113" t="s">
        <v>57</v>
      </c>
      <c r="F61" s="113" t="s">
        <v>89</v>
      </c>
      <c r="G61" s="114">
        <v>3000</v>
      </c>
      <c r="H61" s="114">
        <v>1774</v>
      </c>
      <c r="I61" s="114">
        <f t="shared" si="0"/>
        <v>59.13333333333334</v>
      </c>
    </row>
    <row r="62" spans="1:9" s="175" customFormat="1" x14ac:dyDescent="0.2">
      <c r="A62" s="103" t="s">
        <v>131</v>
      </c>
      <c r="B62" s="104" t="s">
        <v>387</v>
      </c>
      <c r="C62" s="104" t="s">
        <v>76</v>
      </c>
      <c r="D62" s="104" t="s">
        <v>93</v>
      </c>
      <c r="E62" s="104" t="s">
        <v>132</v>
      </c>
      <c r="F62" s="104"/>
      <c r="G62" s="105">
        <f>G63</f>
        <v>1000</v>
      </c>
      <c r="H62" s="127">
        <f>H63</f>
        <v>0</v>
      </c>
      <c r="I62" s="127">
        <f t="shared" si="0"/>
        <v>0</v>
      </c>
    </row>
    <row r="63" spans="1:9" s="175" customFormat="1" x14ac:dyDescent="0.2">
      <c r="A63" s="112" t="s">
        <v>87</v>
      </c>
      <c r="B63" s="113" t="s">
        <v>387</v>
      </c>
      <c r="C63" s="113" t="s">
        <v>76</v>
      </c>
      <c r="D63" s="113" t="s">
        <v>93</v>
      </c>
      <c r="E63" s="113" t="s">
        <v>132</v>
      </c>
      <c r="F63" s="113" t="s">
        <v>88</v>
      </c>
      <c r="G63" s="114">
        <f>G64</f>
        <v>1000</v>
      </c>
      <c r="H63" s="128">
        <f>H64</f>
        <v>0</v>
      </c>
      <c r="I63" s="128">
        <f t="shared" si="0"/>
        <v>0</v>
      </c>
    </row>
    <row r="64" spans="1:9" s="175" customFormat="1" x14ac:dyDescent="0.2">
      <c r="A64" s="112" t="s">
        <v>500</v>
      </c>
      <c r="B64" s="113" t="s">
        <v>387</v>
      </c>
      <c r="C64" s="113" t="s">
        <v>76</v>
      </c>
      <c r="D64" s="113" t="s">
        <v>93</v>
      </c>
      <c r="E64" s="113" t="s">
        <v>132</v>
      </c>
      <c r="F64" s="113" t="s">
        <v>89</v>
      </c>
      <c r="G64" s="114">
        <v>1000</v>
      </c>
      <c r="H64" s="128">
        <v>0</v>
      </c>
      <c r="I64" s="128">
        <f t="shared" si="0"/>
        <v>0</v>
      </c>
    </row>
    <row r="65" spans="1:9" s="175" customFormat="1" x14ac:dyDescent="0.2">
      <c r="A65" s="103" t="s">
        <v>312</v>
      </c>
      <c r="B65" s="104" t="s">
        <v>387</v>
      </c>
      <c r="C65" s="104" t="s">
        <v>76</v>
      </c>
      <c r="D65" s="104" t="s">
        <v>93</v>
      </c>
      <c r="E65" s="135" t="s">
        <v>337</v>
      </c>
      <c r="F65" s="104"/>
      <c r="G65" s="127">
        <f>G66</f>
        <v>6350</v>
      </c>
      <c r="H65" s="127">
        <f>H66</f>
        <v>4820.7338399999999</v>
      </c>
      <c r="I65" s="105">
        <f t="shared" si="0"/>
        <v>75.917068346456702</v>
      </c>
    </row>
    <row r="66" spans="1:9" s="175" customFormat="1" x14ac:dyDescent="0.2">
      <c r="A66" s="112" t="s">
        <v>87</v>
      </c>
      <c r="B66" s="113" t="s">
        <v>387</v>
      </c>
      <c r="C66" s="113" t="s">
        <v>76</v>
      </c>
      <c r="D66" s="113" t="s">
        <v>93</v>
      </c>
      <c r="E66" s="123" t="s">
        <v>337</v>
      </c>
      <c r="F66" s="113" t="s">
        <v>88</v>
      </c>
      <c r="G66" s="128">
        <f>G67+G68</f>
        <v>6350</v>
      </c>
      <c r="H66" s="128">
        <f>H67+H68</f>
        <v>4820.7338399999999</v>
      </c>
      <c r="I66" s="114">
        <f t="shared" si="0"/>
        <v>75.917068346456702</v>
      </c>
    </row>
    <row r="67" spans="1:9" s="175" customFormat="1" x14ac:dyDescent="0.2">
      <c r="A67" s="112" t="s">
        <v>149</v>
      </c>
      <c r="B67" s="113" t="s">
        <v>387</v>
      </c>
      <c r="C67" s="113" t="s">
        <v>76</v>
      </c>
      <c r="D67" s="113" t="s">
        <v>93</v>
      </c>
      <c r="E67" s="123" t="s">
        <v>337</v>
      </c>
      <c r="F67" s="113" t="s">
        <v>153</v>
      </c>
      <c r="G67" s="128">
        <f>1950+1800+1200+900+450</f>
        <v>6300</v>
      </c>
      <c r="H67" s="128">
        <v>4820.7338399999999</v>
      </c>
      <c r="I67" s="114">
        <f t="shared" si="0"/>
        <v>76.519584761904753</v>
      </c>
    </row>
    <row r="68" spans="1:9" s="175" customFormat="1" x14ac:dyDescent="0.2">
      <c r="A68" s="112" t="s">
        <v>500</v>
      </c>
      <c r="B68" s="113" t="s">
        <v>387</v>
      </c>
      <c r="C68" s="113" t="s">
        <v>76</v>
      </c>
      <c r="D68" s="113" t="s">
        <v>93</v>
      </c>
      <c r="E68" s="123" t="s">
        <v>337</v>
      </c>
      <c r="F68" s="113" t="s">
        <v>89</v>
      </c>
      <c r="G68" s="128">
        <v>50</v>
      </c>
      <c r="H68" s="128">
        <v>0</v>
      </c>
      <c r="I68" s="128">
        <f t="shared" si="0"/>
        <v>0</v>
      </c>
    </row>
    <row r="69" spans="1:9" s="175" customFormat="1" ht="27" x14ac:dyDescent="0.2">
      <c r="A69" s="116" t="s">
        <v>527</v>
      </c>
      <c r="B69" s="107" t="s">
        <v>387</v>
      </c>
      <c r="C69" s="107" t="s">
        <v>76</v>
      </c>
      <c r="D69" s="107" t="s">
        <v>93</v>
      </c>
      <c r="E69" s="139" t="s">
        <v>213</v>
      </c>
      <c r="F69" s="140"/>
      <c r="G69" s="108">
        <f>G70+G77+G96</f>
        <v>38642.9</v>
      </c>
      <c r="H69" s="108">
        <f>H70+H77+H96</f>
        <v>32163.917890000001</v>
      </c>
      <c r="I69" s="108">
        <f t="shared" si="0"/>
        <v>83.233706295334969</v>
      </c>
    </row>
    <row r="70" spans="1:9" s="175" customFormat="1" ht="27" x14ac:dyDescent="0.2">
      <c r="A70" s="141" t="s">
        <v>528</v>
      </c>
      <c r="B70" s="107" t="s">
        <v>387</v>
      </c>
      <c r="C70" s="107" t="s">
        <v>76</v>
      </c>
      <c r="D70" s="107" t="s">
        <v>93</v>
      </c>
      <c r="E70" s="142" t="s">
        <v>174</v>
      </c>
      <c r="F70" s="140"/>
      <c r="G70" s="108">
        <f>G71+G74</f>
        <v>25382</v>
      </c>
      <c r="H70" s="108">
        <f>H71+H74</f>
        <v>25230.972000000002</v>
      </c>
      <c r="I70" s="108">
        <f t="shared" si="0"/>
        <v>99.404979907020731</v>
      </c>
    </row>
    <row r="71" spans="1:9" s="175" customFormat="1" ht="24" x14ac:dyDescent="0.2">
      <c r="A71" s="103" t="s">
        <v>529</v>
      </c>
      <c r="B71" s="104" t="s">
        <v>387</v>
      </c>
      <c r="C71" s="104" t="s">
        <v>76</v>
      </c>
      <c r="D71" s="104" t="s">
        <v>93</v>
      </c>
      <c r="E71" s="135" t="s">
        <v>129</v>
      </c>
      <c r="F71" s="143"/>
      <c r="G71" s="127">
        <f>G72</f>
        <v>7140</v>
      </c>
      <c r="H71" s="127">
        <f>H72</f>
        <v>7140</v>
      </c>
      <c r="I71" s="105">
        <f t="shared" si="0"/>
        <v>100</v>
      </c>
    </row>
    <row r="72" spans="1:9" s="175" customFormat="1" x14ac:dyDescent="0.2">
      <c r="A72" s="112" t="s">
        <v>294</v>
      </c>
      <c r="B72" s="113" t="s">
        <v>387</v>
      </c>
      <c r="C72" s="113" t="s">
        <v>76</v>
      </c>
      <c r="D72" s="113" t="s">
        <v>93</v>
      </c>
      <c r="E72" s="123" t="s">
        <v>129</v>
      </c>
      <c r="F72" s="130">
        <v>200</v>
      </c>
      <c r="G72" s="128">
        <f>G73</f>
        <v>7140</v>
      </c>
      <c r="H72" s="128">
        <f>H73</f>
        <v>7140</v>
      </c>
      <c r="I72" s="114">
        <f t="shared" si="0"/>
        <v>100</v>
      </c>
    </row>
    <row r="73" spans="1:9" s="175" customFormat="1" x14ac:dyDescent="0.2">
      <c r="A73" s="112" t="s">
        <v>85</v>
      </c>
      <c r="B73" s="113" t="s">
        <v>387</v>
      </c>
      <c r="C73" s="113" t="s">
        <v>76</v>
      </c>
      <c r="D73" s="113" t="s">
        <v>93</v>
      </c>
      <c r="E73" s="123" t="s">
        <v>129</v>
      </c>
      <c r="F73" s="130">
        <v>240</v>
      </c>
      <c r="G73" s="128">
        <v>7140</v>
      </c>
      <c r="H73" s="128">
        <v>7140</v>
      </c>
      <c r="I73" s="114">
        <f t="shared" ref="I73:I136" si="3">H73/G73*100</f>
        <v>100</v>
      </c>
    </row>
    <row r="74" spans="1:9" s="175" customFormat="1" ht="24" x14ac:dyDescent="0.2">
      <c r="A74" s="103" t="s">
        <v>530</v>
      </c>
      <c r="B74" s="104" t="s">
        <v>387</v>
      </c>
      <c r="C74" s="104" t="s">
        <v>76</v>
      </c>
      <c r="D74" s="104" t="s">
        <v>93</v>
      </c>
      <c r="E74" s="135" t="s">
        <v>531</v>
      </c>
      <c r="F74" s="143"/>
      <c r="G74" s="127">
        <f>G75</f>
        <v>18242</v>
      </c>
      <c r="H74" s="127">
        <f>H75</f>
        <v>18090.972000000002</v>
      </c>
      <c r="I74" s="105">
        <f t="shared" si="3"/>
        <v>99.172086394035759</v>
      </c>
    </row>
    <row r="75" spans="1:9" s="175" customFormat="1" x14ac:dyDescent="0.2">
      <c r="A75" s="112" t="s">
        <v>294</v>
      </c>
      <c r="B75" s="113" t="s">
        <v>387</v>
      </c>
      <c r="C75" s="113" t="s">
        <v>76</v>
      </c>
      <c r="D75" s="113" t="s">
        <v>93</v>
      </c>
      <c r="E75" s="123" t="s">
        <v>531</v>
      </c>
      <c r="F75" s="130">
        <v>200</v>
      </c>
      <c r="G75" s="128">
        <f>G76</f>
        <v>18242</v>
      </c>
      <c r="H75" s="128">
        <f>H76</f>
        <v>18090.972000000002</v>
      </c>
      <c r="I75" s="114">
        <f t="shared" si="3"/>
        <v>99.172086394035759</v>
      </c>
    </row>
    <row r="76" spans="1:9" s="175" customFormat="1" x14ac:dyDescent="0.2">
      <c r="A76" s="112" t="s">
        <v>85</v>
      </c>
      <c r="B76" s="113" t="s">
        <v>387</v>
      </c>
      <c r="C76" s="113" t="s">
        <v>76</v>
      </c>
      <c r="D76" s="113" t="s">
        <v>93</v>
      </c>
      <c r="E76" s="123" t="s">
        <v>531</v>
      </c>
      <c r="F76" s="130">
        <v>240</v>
      </c>
      <c r="G76" s="128">
        <v>18242</v>
      </c>
      <c r="H76" s="128">
        <v>18090.972000000002</v>
      </c>
      <c r="I76" s="114">
        <f t="shared" si="3"/>
        <v>99.172086394035759</v>
      </c>
    </row>
    <row r="77" spans="1:9" s="175" customFormat="1" ht="27" x14ac:dyDescent="0.2">
      <c r="A77" s="141" t="s">
        <v>58</v>
      </c>
      <c r="B77" s="107" t="s">
        <v>387</v>
      </c>
      <c r="C77" s="107" t="s">
        <v>76</v>
      </c>
      <c r="D77" s="107" t="s">
        <v>93</v>
      </c>
      <c r="E77" s="142" t="s">
        <v>246</v>
      </c>
      <c r="F77" s="140"/>
      <c r="G77" s="108">
        <f>G78+G81+G84+G87+G90+G93</f>
        <v>10560.9</v>
      </c>
      <c r="H77" s="108">
        <f>H78+H81+H84+H87+H90+H93</f>
        <v>6932.94589</v>
      </c>
      <c r="I77" s="108">
        <f t="shared" si="3"/>
        <v>65.647301745116422</v>
      </c>
    </row>
    <row r="78" spans="1:9" s="175" customFormat="1" x14ac:dyDescent="0.2">
      <c r="A78" s="134" t="s">
        <v>532</v>
      </c>
      <c r="B78" s="104" t="s">
        <v>387</v>
      </c>
      <c r="C78" s="104" t="s">
        <v>76</v>
      </c>
      <c r="D78" s="104" t="s">
        <v>93</v>
      </c>
      <c r="E78" s="135" t="s">
        <v>533</v>
      </c>
      <c r="F78" s="143"/>
      <c r="G78" s="105">
        <f>G79</f>
        <v>1206.9000000000001</v>
      </c>
      <c r="H78" s="105">
        <f>H79</f>
        <v>1198.19857</v>
      </c>
      <c r="I78" s="105">
        <f t="shared" si="3"/>
        <v>99.279026431353046</v>
      </c>
    </row>
    <row r="79" spans="1:9" s="175" customFormat="1" x14ac:dyDescent="0.2">
      <c r="A79" s="112" t="s">
        <v>294</v>
      </c>
      <c r="B79" s="113" t="s">
        <v>387</v>
      </c>
      <c r="C79" s="113" t="s">
        <v>76</v>
      </c>
      <c r="D79" s="113" t="s">
        <v>93</v>
      </c>
      <c r="E79" s="123" t="s">
        <v>533</v>
      </c>
      <c r="F79" s="130">
        <v>200</v>
      </c>
      <c r="G79" s="114">
        <f>G80</f>
        <v>1206.9000000000001</v>
      </c>
      <c r="H79" s="114">
        <f>H80</f>
        <v>1198.19857</v>
      </c>
      <c r="I79" s="114">
        <f t="shared" si="3"/>
        <v>99.279026431353046</v>
      </c>
    </row>
    <row r="80" spans="1:9" s="175" customFormat="1" x14ac:dyDescent="0.2">
      <c r="A80" s="112" t="s">
        <v>85</v>
      </c>
      <c r="B80" s="113" t="s">
        <v>387</v>
      </c>
      <c r="C80" s="113" t="s">
        <v>76</v>
      </c>
      <c r="D80" s="113" t="s">
        <v>93</v>
      </c>
      <c r="E80" s="123" t="s">
        <v>533</v>
      </c>
      <c r="F80" s="130">
        <v>240</v>
      </c>
      <c r="G80" s="114">
        <f>906.9+300</f>
        <v>1206.9000000000001</v>
      </c>
      <c r="H80" s="114">
        <v>1198.19857</v>
      </c>
      <c r="I80" s="114">
        <f t="shared" si="3"/>
        <v>99.279026431353046</v>
      </c>
    </row>
    <row r="81" spans="1:9" s="175" customFormat="1" ht="24" x14ac:dyDescent="0.2">
      <c r="A81" s="134" t="s">
        <v>534</v>
      </c>
      <c r="B81" s="104" t="s">
        <v>387</v>
      </c>
      <c r="C81" s="104" t="s">
        <v>76</v>
      </c>
      <c r="D81" s="104" t="s">
        <v>93</v>
      </c>
      <c r="E81" s="135" t="s">
        <v>535</v>
      </c>
      <c r="F81" s="130"/>
      <c r="G81" s="105">
        <f>G82</f>
        <v>1540</v>
      </c>
      <c r="H81" s="105">
        <f>H82</f>
        <v>586.84932000000003</v>
      </c>
      <c r="I81" s="105">
        <f t="shared" si="3"/>
        <v>38.107098701298703</v>
      </c>
    </row>
    <row r="82" spans="1:9" s="175" customFormat="1" x14ac:dyDescent="0.2">
      <c r="A82" s="112" t="s">
        <v>294</v>
      </c>
      <c r="B82" s="113" t="s">
        <v>387</v>
      </c>
      <c r="C82" s="113" t="s">
        <v>76</v>
      </c>
      <c r="D82" s="113" t="s">
        <v>93</v>
      </c>
      <c r="E82" s="123" t="s">
        <v>535</v>
      </c>
      <c r="F82" s="130">
        <v>200</v>
      </c>
      <c r="G82" s="114">
        <f>G83</f>
        <v>1540</v>
      </c>
      <c r="H82" s="114">
        <f>H83</f>
        <v>586.84932000000003</v>
      </c>
      <c r="I82" s="114">
        <f t="shared" si="3"/>
        <v>38.107098701298703</v>
      </c>
    </row>
    <row r="83" spans="1:9" s="175" customFormat="1" x14ac:dyDescent="0.2">
      <c r="A83" s="112" t="s">
        <v>85</v>
      </c>
      <c r="B83" s="113" t="s">
        <v>387</v>
      </c>
      <c r="C83" s="113" t="s">
        <v>76</v>
      </c>
      <c r="D83" s="113" t="s">
        <v>93</v>
      </c>
      <c r="E83" s="123" t="s">
        <v>535</v>
      </c>
      <c r="F83" s="130">
        <v>240</v>
      </c>
      <c r="G83" s="114">
        <v>1540</v>
      </c>
      <c r="H83" s="114">
        <v>586.84932000000003</v>
      </c>
      <c r="I83" s="114">
        <f t="shared" si="3"/>
        <v>38.107098701298703</v>
      </c>
    </row>
    <row r="84" spans="1:9" s="175" customFormat="1" ht="24" x14ac:dyDescent="0.2">
      <c r="A84" s="134" t="s">
        <v>536</v>
      </c>
      <c r="B84" s="104" t="s">
        <v>387</v>
      </c>
      <c r="C84" s="104" t="s">
        <v>76</v>
      </c>
      <c r="D84" s="104" t="s">
        <v>93</v>
      </c>
      <c r="E84" s="135" t="s">
        <v>537</v>
      </c>
      <c r="F84" s="130"/>
      <c r="G84" s="105">
        <f>G85</f>
        <v>3864</v>
      </c>
      <c r="H84" s="105">
        <f>H85</f>
        <v>2958.7869999999998</v>
      </c>
      <c r="I84" s="105">
        <f t="shared" si="3"/>
        <v>76.573162525879908</v>
      </c>
    </row>
    <row r="85" spans="1:9" s="175" customFormat="1" x14ac:dyDescent="0.2">
      <c r="A85" s="112" t="s">
        <v>294</v>
      </c>
      <c r="B85" s="113" t="s">
        <v>387</v>
      </c>
      <c r="C85" s="113" t="s">
        <v>76</v>
      </c>
      <c r="D85" s="113" t="s">
        <v>93</v>
      </c>
      <c r="E85" s="123" t="s">
        <v>537</v>
      </c>
      <c r="F85" s="130">
        <v>200</v>
      </c>
      <c r="G85" s="114">
        <f>G86</f>
        <v>3864</v>
      </c>
      <c r="H85" s="114">
        <f>H86</f>
        <v>2958.7869999999998</v>
      </c>
      <c r="I85" s="114">
        <f t="shared" si="3"/>
        <v>76.573162525879908</v>
      </c>
    </row>
    <row r="86" spans="1:9" s="175" customFormat="1" x14ac:dyDescent="0.2">
      <c r="A86" s="112" t="s">
        <v>85</v>
      </c>
      <c r="B86" s="113" t="s">
        <v>387</v>
      </c>
      <c r="C86" s="113" t="s">
        <v>76</v>
      </c>
      <c r="D86" s="113" t="s">
        <v>93</v>
      </c>
      <c r="E86" s="123" t="s">
        <v>537</v>
      </c>
      <c r="F86" s="130">
        <v>240</v>
      </c>
      <c r="G86" s="114">
        <f>4164-300</f>
        <v>3864</v>
      </c>
      <c r="H86" s="114">
        <v>2958.7869999999998</v>
      </c>
      <c r="I86" s="114">
        <f t="shared" si="3"/>
        <v>76.573162525879908</v>
      </c>
    </row>
    <row r="87" spans="1:9" s="175" customFormat="1" ht="24" x14ac:dyDescent="0.2">
      <c r="A87" s="134" t="s">
        <v>538</v>
      </c>
      <c r="B87" s="104" t="s">
        <v>387</v>
      </c>
      <c r="C87" s="104" t="s">
        <v>76</v>
      </c>
      <c r="D87" s="104" t="s">
        <v>93</v>
      </c>
      <c r="E87" s="135" t="s">
        <v>539</v>
      </c>
      <c r="F87" s="130"/>
      <c r="G87" s="105">
        <f>G88</f>
        <v>2650</v>
      </c>
      <c r="H87" s="105">
        <f>H88</f>
        <v>1914.1659999999999</v>
      </c>
      <c r="I87" s="105">
        <f t="shared" si="3"/>
        <v>72.232679245283009</v>
      </c>
    </row>
    <row r="88" spans="1:9" s="175" customFormat="1" x14ac:dyDescent="0.2">
      <c r="A88" s="112" t="s">
        <v>294</v>
      </c>
      <c r="B88" s="113" t="s">
        <v>387</v>
      </c>
      <c r="C88" s="113" t="s">
        <v>76</v>
      </c>
      <c r="D88" s="113" t="s">
        <v>93</v>
      </c>
      <c r="E88" s="123" t="s">
        <v>539</v>
      </c>
      <c r="F88" s="130">
        <v>200</v>
      </c>
      <c r="G88" s="114">
        <f>G89</f>
        <v>2650</v>
      </c>
      <c r="H88" s="114">
        <f>H89</f>
        <v>1914.1659999999999</v>
      </c>
      <c r="I88" s="114">
        <f t="shared" si="3"/>
        <v>72.232679245283009</v>
      </c>
    </row>
    <row r="89" spans="1:9" s="175" customFormat="1" x14ac:dyDescent="0.2">
      <c r="A89" s="112" t="s">
        <v>85</v>
      </c>
      <c r="B89" s="113" t="s">
        <v>387</v>
      </c>
      <c r="C89" s="113" t="s">
        <v>76</v>
      </c>
      <c r="D89" s="113" t="s">
        <v>93</v>
      </c>
      <c r="E89" s="123" t="s">
        <v>539</v>
      </c>
      <c r="F89" s="130">
        <v>240</v>
      </c>
      <c r="G89" s="114">
        <v>2650</v>
      </c>
      <c r="H89" s="114">
        <v>1914.1659999999999</v>
      </c>
      <c r="I89" s="114">
        <f t="shared" si="3"/>
        <v>72.232679245283009</v>
      </c>
    </row>
    <row r="90" spans="1:9" s="175" customFormat="1" ht="24" x14ac:dyDescent="0.2">
      <c r="A90" s="134" t="s">
        <v>247</v>
      </c>
      <c r="B90" s="104" t="s">
        <v>387</v>
      </c>
      <c r="C90" s="104" t="s">
        <v>76</v>
      </c>
      <c r="D90" s="104" t="s">
        <v>93</v>
      </c>
      <c r="E90" s="135" t="s">
        <v>540</v>
      </c>
      <c r="F90" s="130"/>
      <c r="G90" s="127">
        <f>G91</f>
        <v>800</v>
      </c>
      <c r="H90" s="127">
        <f>H91</f>
        <v>99.82</v>
      </c>
      <c r="I90" s="105">
        <f t="shared" si="3"/>
        <v>12.477499999999999</v>
      </c>
    </row>
    <row r="91" spans="1:9" s="175" customFormat="1" x14ac:dyDescent="0.2">
      <c r="A91" s="112" t="s">
        <v>294</v>
      </c>
      <c r="B91" s="113" t="s">
        <v>387</v>
      </c>
      <c r="C91" s="113" t="s">
        <v>76</v>
      </c>
      <c r="D91" s="113" t="s">
        <v>93</v>
      </c>
      <c r="E91" s="123" t="s">
        <v>540</v>
      </c>
      <c r="F91" s="130">
        <v>200</v>
      </c>
      <c r="G91" s="128">
        <f>G92</f>
        <v>800</v>
      </c>
      <c r="H91" s="128">
        <f>H92</f>
        <v>99.82</v>
      </c>
      <c r="I91" s="114">
        <f t="shared" si="3"/>
        <v>12.477499999999999</v>
      </c>
    </row>
    <row r="92" spans="1:9" s="175" customFormat="1" x14ac:dyDescent="0.2">
      <c r="A92" s="112" t="s">
        <v>85</v>
      </c>
      <c r="B92" s="113" t="s">
        <v>387</v>
      </c>
      <c r="C92" s="113" t="s">
        <v>76</v>
      </c>
      <c r="D92" s="113" t="s">
        <v>93</v>
      </c>
      <c r="E92" s="123" t="s">
        <v>540</v>
      </c>
      <c r="F92" s="130">
        <v>240</v>
      </c>
      <c r="G92" s="128">
        <v>800</v>
      </c>
      <c r="H92" s="128">
        <v>99.82</v>
      </c>
      <c r="I92" s="114">
        <f t="shared" si="3"/>
        <v>12.477499999999999</v>
      </c>
    </row>
    <row r="93" spans="1:9" s="175" customFormat="1" x14ac:dyDescent="0.2">
      <c r="A93" s="134" t="s">
        <v>248</v>
      </c>
      <c r="B93" s="104" t="s">
        <v>387</v>
      </c>
      <c r="C93" s="104" t="s">
        <v>76</v>
      </c>
      <c r="D93" s="104" t="s">
        <v>93</v>
      </c>
      <c r="E93" s="135" t="s">
        <v>541</v>
      </c>
      <c r="F93" s="130"/>
      <c r="G93" s="105">
        <f>G94</f>
        <v>500</v>
      </c>
      <c r="H93" s="105">
        <f>H94</f>
        <v>175.125</v>
      </c>
      <c r="I93" s="105">
        <f t="shared" si="3"/>
        <v>35.024999999999999</v>
      </c>
    </row>
    <row r="94" spans="1:9" s="175" customFormat="1" x14ac:dyDescent="0.2">
      <c r="A94" s="112" t="s">
        <v>294</v>
      </c>
      <c r="B94" s="113" t="s">
        <v>387</v>
      </c>
      <c r="C94" s="113" t="s">
        <v>76</v>
      </c>
      <c r="D94" s="113" t="s">
        <v>93</v>
      </c>
      <c r="E94" s="123" t="s">
        <v>541</v>
      </c>
      <c r="F94" s="130">
        <v>200</v>
      </c>
      <c r="G94" s="114">
        <f>G95</f>
        <v>500</v>
      </c>
      <c r="H94" s="114">
        <f>H95</f>
        <v>175.125</v>
      </c>
      <c r="I94" s="114">
        <f t="shared" si="3"/>
        <v>35.024999999999999</v>
      </c>
    </row>
    <row r="95" spans="1:9" s="175" customFormat="1" x14ac:dyDescent="0.2">
      <c r="A95" s="112" t="s">
        <v>85</v>
      </c>
      <c r="B95" s="113" t="s">
        <v>387</v>
      </c>
      <c r="C95" s="113" t="s">
        <v>76</v>
      </c>
      <c r="D95" s="113" t="s">
        <v>93</v>
      </c>
      <c r="E95" s="123" t="s">
        <v>541</v>
      </c>
      <c r="F95" s="130">
        <v>240</v>
      </c>
      <c r="G95" s="114">
        <v>500</v>
      </c>
      <c r="H95" s="114">
        <v>175.125</v>
      </c>
      <c r="I95" s="114">
        <f t="shared" si="3"/>
        <v>35.024999999999999</v>
      </c>
    </row>
    <row r="96" spans="1:9" s="175" customFormat="1" ht="13.5" x14ac:dyDescent="0.2">
      <c r="A96" s="116" t="s">
        <v>39</v>
      </c>
      <c r="B96" s="107" t="s">
        <v>387</v>
      </c>
      <c r="C96" s="107" t="s">
        <v>76</v>
      </c>
      <c r="D96" s="107" t="s">
        <v>93</v>
      </c>
      <c r="E96" s="142" t="s">
        <v>40</v>
      </c>
      <c r="F96" s="140"/>
      <c r="G96" s="108">
        <f>G97+G100</f>
        <v>2700</v>
      </c>
      <c r="H96" s="155">
        <f>H97+H100</f>
        <v>0</v>
      </c>
      <c r="I96" s="155">
        <f t="shared" si="3"/>
        <v>0</v>
      </c>
    </row>
    <row r="97" spans="1:9" s="175" customFormat="1" x14ac:dyDescent="0.2">
      <c r="A97" s="103" t="s">
        <v>41</v>
      </c>
      <c r="B97" s="104" t="s">
        <v>387</v>
      </c>
      <c r="C97" s="104" t="s">
        <v>76</v>
      </c>
      <c r="D97" s="104" t="s">
        <v>93</v>
      </c>
      <c r="E97" s="104" t="s">
        <v>542</v>
      </c>
      <c r="F97" s="143"/>
      <c r="G97" s="105">
        <f>G98</f>
        <v>1000</v>
      </c>
      <c r="H97" s="127">
        <f>H98</f>
        <v>0</v>
      </c>
      <c r="I97" s="127">
        <f t="shared" si="3"/>
        <v>0</v>
      </c>
    </row>
    <row r="98" spans="1:9" s="175" customFormat="1" x14ac:dyDescent="0.2">
      <c r="A98" s="112" t="s">
        <v>294</v>
      </c>
      <c r="B98" s="113" t="s">
        <v>387</v>
      </c>
      <c r="C98" s="113" t="s">
        <v>76</v>
      </c>
      <c r="D98" s="113" t="s">
        <v>93</v>
      </c>
      <c r="E98" s="123" t="s">
        <v>542</v>
      </c>
      <c r="F98" s="130">
        <v>200</v>
      </c>
      <c r="G98" s="114">
        <f>G99</f>
        <v>1000</v>
      </c>
      <c r="H98" s="128">
        <f>H99</f>
        <v>0</v>
      </c>
      <c r="I98" s="128">
        <f t="shared" si="3"/>
        <v>0</v>
      </c>
    </row>
    <row r="99" spans="1:9" s="175" customFormat="1" x14ac:dyDescent="0.2">
      <c r="A99" s="112" t="s">
        <v>85</v>
      </c>
      <c r="B99" s="113" t="s">
        <v>387</v>
      </c>
      <c r="C99" s="113" t="s">
        <v>76</v>
      </c>
      <c r="D99" s="113" t="s">
        <v>93</v>
      </c>
      <c r="E99" s="123" t="s">
        <v>542</v>
      </c>
      <c r="F99" s="130">
        <v>240</v>
      </c>
      <c r="G99" s="114">
        <v>1000</v>
      </c>
      <c r="H99" s="128">
        <v>0</v>
      </c>
      <c r="I99" s="128">
        <f t="shared" si="3"/>
        <v>0</v>
      </c>
    </row>
    <row r="100" spans="1:9" s="175" customFormat="1" ht="24" x14ac:dyDescent="0.2">
      <c r="A100" s="103" t="s">
        <v>543</v>
      </c>
      <c r="B100" s="104" t="s">
        <v>387</v>
      </c>
      <c r="C100" s="104" t="s">
        <v>76</v>
      </c>
      <c r="D100" s="104" t="s">
        <v>93</v>
      </c>
      <c r="E100" s="135" t="s">
        <v>544</v>
      </c>
      <c r="F100" s="143"/>
      <c r="G100" s="105">
        <f>G101</f>
        <v>1700</v>
      </c>
      <c r="H100" s="127">
        <f>H101</f>
        <v>0</v>
      </c>
      <c r="I100" s="127">
        <f t="shared" si="3"/>
        <v>0</v>
      </c>
    </row>
    <row r="101" spans="1:9" s="175" customFormat="1" x14ac:dyDescent="0.2">
      <c r="A101" s="112" t="s">
        <v>294</v>
      </c>
      <c r="B101" s="113" t="s">
        <v>387</v>
      </c>
      <c r="C101" s="113" t="s">
        <v>76</v>
      </c>
      <c r="D101" s="113" t="s">
        <v>93</v>
      </c>
      <c r="E101" s="123" t="s">
        <v>544</v>
      </c>
      <c r="F101" s="130">
        <v>200</v>
      </c>
      <c r="G101" s="114">
        <f>G102</f>
        <v>1700</v>
      </c>
      <c r="H101" s="128">
        <f>H102</f>
        <v>0</v>
      </c>
      <c r="I101" s="128">
        <f t="shared" si="3"/>
        <v>0</v>
      </c>
    </row>
    <row r="102" spans="1:9" s="175" customFormat="1" x14ac:dyDescent="0.2">
      <c r="A102" s="112" t="s">
        <v>85</v>
      </c>
      <c r="B102" s="113" t="s">
        <v>387</v>
      </c>
      <c r="C102" s="113" t="s">
        <v>76</v>
      </c>
      <c r="D102" s="113" t="s">
        <v>93</v>
      </c>
      <c r="E102" s="123" t="s">
        <v>544</v>
      </c>
      <c r="F102" s="130">
        <v>240</v>
      </c>
      <c r="G102" s="114">
        <v>1700</v>
      </c>
      <c r="H102" s="128">
        <v>0</v>
      </c>
      <c r="I102" s="128">
        <f t="shared" si="3"/>
        <v>0</v>
      </c>
    </row>
    <row r="103" spans="1:9" s="174" customFormat="1" ht="24" x14ac:dyDescent="0.2">
      <c r="A103" s="117" t="s">
        <v>290</v>
      </c>
      <c r="B103" s="118" t="s">
        <v>387</v>
      </c>
      <c r="C103" s="118" t="s">
        <v>76</v>
      </c>
      <c r="D103" s="118" t="s">
        <v>93</v>
      </c>
      <c r="E103" s="122" t="s">
        <v>233</v>
      </c>
      <c r="F103" s="144"/>
      <c r="G103" s="129">
        <f t="shared" ref="G103:H106" si="4">G104</f>
        <v>300.34999999999991</v>
      </c>
      <c r="H103" s="129">
        <f t="shared" si="4"/>
        <v>300.35000000000002</v>
      </c>
      <c r="I103" s="119">
        <f t="shared" si="3"/>
        <v>100.00000000000004</v>
      </c>
    </row>
    <row r="104" spans="1:9" s="174" customFormat="1" ht="24" x14ac:dyDescent="0.2">
      <c r="A104" s="117" t="s">
        <v>545</v>
      </c>
      <c r="B104" s="118" t="s">
        <v>387</v>
      </c>
      <c r="C104" s="118" t="s">
        <v>76</v>
      </c>
      <c r="D104" s="118" t="s">
        <v>93</v>
      </c>
      <c r="E104" s="122" t="s">
        <v>546</v>
      </c>
      <c r="F104" s="144"/>
      <c r="G104" s="129">
        <f t="shared" si="4"/>
        <v>300.34999999999991</v>
      </c>
      <c r="H104" s="129">
        <f t="shared" si="4"/>
        <v>300.35000000000002</v>
      </c>
      <c r="I104" s="119">
        <f t="shared" si="3"/>
        <v>100.00000000000004</v>
      </c>
    </row>
    <row r="105" spans="1:9" s="174" customFormat="1" ht="36" x14ac:dyDescent="0.2">
      <c r="A105" s="103" t="s">
        <v>547</v>
      </c>
      <c r="B105" s="104" t="s">
        <v>387</v>
      </c>
      <c r="C105" s="104" t="s">
        <v>76</v>
      </c>
      <c r="D105" s="104" t="s">
        <v>93</v>
      </c>
      <c r="E105" s="135" t="s">
        <v>548</v>
      </c>
      <c r="F105" s="143"/>
      <c r="G105" s="127">
        <f t="shared" si="4"/>
        <v>300.34999999999991</v>
      </c>
      <c r="H105" s="127">
        <f t="shared" si="4"/>
        <v>300.35000000000002</v>
      </c>
      <c r="I105" s="105">
        <f t="shared" si="3"/>
        <v>100.00000000000004</v>
      </c>
    </row>
    <row r="106" spans="1:9" s="174" customFormat="1" x14ac:dyDescent="0.2">
      <c r="A106" s="112" t="s">
        <v>294</v>
      </c>
      <c r="B106" s="113" t="s">
        <v>387</v>
      </c>
      <c r="C106" s="113" t="s">
        <v>76</v>
      </c>
      <c r="D106" s="113" t="s">
        <v>93</v>
      </c>
      <c r="E106" s="123" t="s">
        <v>548</v>
      </c>
      <c r="F106" s="130">
        <v>200</v>
      </c>
      <c r="G106" s="128">
        <f t="shared" si="4"/>
        <v>300.34999999999991</v>
      </c>
      <c r="H106" s="128">
        <f t="shared" si="4"/>
        <v>300.35000000000002</v>
      </c>
      <c r="I106" s="114">
        <f t="shared" si="3"/>
        <v>100.00000000000004</v>
      </c>
    </row>
    <row r="107" spans="1:9" s="174" customFormat="1" x14ac:dyDescent="0.2">
      <c r="A107" s="112" t="s">
        <v>85</v>
      </c>
      <c r="B107" s="113" t="s">
        <v>387</v>
      </c>
      <c r="C107" s="113" t="s">
        <v>76</v>
      </c>
      <c r="D107" s="113" t="s">
        <v>93</v>
      </c>
      <c r="E107" s="123" t="s">
        <v>548</v>
      </c>
      <c r="F107" s="130">
        <v>240</v>
      </c>
      <c r="G107" s="128">
        <f>1720-1419.65</f>
        <v>300.34999999999991</v>
      </c>
      <c r="H107" s="128">
        <v>300.35000000000002</v>
      </c>
      <c r="I107" s="114">
        <f t="shared" si="3"/>
        <v>100.00000000000004</v>
      </c>
    </row>
    <row r="108" spans="1:9" s="174" customFormat="1" x14ac:dyDescent="0.2">
      <c r="A108" s="103" t="s">
        <v>313</v>
      </c>
      <c r="B108" s="104">
        <v>598</v>
      </c>
      <c r="C108" s="104" t="s">
        <v>469</v>
      </c>
      <c r="D108" s="104" t="s">
        <v>77</v>
      </c>
      <c r="E108" s="104"/>
      <c r="F108" s="104"/>
      <c r="G108" s="105">
        <f t="shared" ref="G108:H110" si="5">G109</f>
        <v>5000</v>
      </c>
      <c r="H108" s="127">
        <f t="shared" si="5"/>
        <v>3766.3429999999998</v>
      </c>
      <c r="I108" s="127">
        <f t="shared" si="3"/>
        <v>75.326859999999996</v>
      </c>
    </row>
    <row r="109" spans="1:9" s="175" customFormat="1" ht="24" x14ac:dyDescent="0.2">
      <c r="A109" s="103" t="s">
        <v>352</v>
      </c>
      <c r="B109" s="104" t="s">
        <v>387</v>
      </c>
      <c r="C109" s="104" t="s">
        <v>469</v>
      </c>
      <c r="D109" s="104" t="s">
        <v>470</v>
      </c>
      <c r="E109" s="104"/>
      <c r="F109" s="104"/>
      <c r="G109" s="105">
        <f t="shared" si="5"/>
        <v>5000</v>
      </c>
      <c r="H109" s="127">
        <f t="shared" si="5"/>
        <v>3766.3429999999998</v>
      </c>
      <c r="I109" s="127">
        <f t="shared" si="3"/>
        <v>75.326859999999996</v>
      </c>
    </row>
    <row r="110" spans="1:9" s="175" customFormat="1" x14ac:dyDescent="0.2">
      <c r="A110" s="117" t="s">
        <v>439</v>
      </c>
      <c r="B110" s="118">
        <v>598</v>
      </c>
      <c r="C110" s="118" t="s">
        <v>469</v>
      </c>
      <c r="D110" s="118" t="s">
        <v>470</v>
      </c>
      <c r="E110" s="118" t="s">
        <v>209</v>
      </c>
      <c r="F110" s="118"/>
      <c r="G110" s="119">
        <f t="shared" si="5"/>
        <v>5000</v>
      </c>
      <c r="H110" s="129">
        <f t="shared" si="5"/>
        <v>3766.3429999999998</v>
      </c>
      <c r="I110" s="129">
        <f t="shared" si="3"/>
        <v>75.326859999999996</v>
      </c>
    </row>
    <row r="111" spans="1:9" s="175" customFormat="1" x14ac:dyDescent="0.2">
      <c r="A111" s="103" t="s">
        <v>297</v>
      </c>
      <c r="B111" s="104">
        <v>598</v>
      </c>
      <c r="C111" s="104" t="s">
        <v>469</v>
      </c>
      <c r="D111" s="104" t="s">
        <v>470</v>
      </c>
      <c r="E111" s="104" t="s">
        <v>210</v>
      </c>
      <c r="F111" s="104"/>
      <c r="G111" s="105">
        <f>G115+G112</f>
        <v>5000</v>
      </c>
      <c r="H111" s="127">
        <f>H115+H112</f>
        <v>3766.3429999999998</v>
      </c>
      <c r="I111" s="127">
        <f t="shared" si="3"/>
        <v>75.326859999999996</v>
      </c>
    </row>
    <row r="112" spans="1:9" s="175" customFormat="1" ht="24" x14ac:dyDescent="0.2">
      <c r="A112" s="103" t="s">
        <v>127</v>
      </c>
      <c r="B112" s="104">
        <v>598</v>
      </c>
      <c r="C112" s="104" t="s">
        <v>469</v>
      </c>
      <c r="D112" s="104" t="s">
        <v>470</v>
      </c>
      <c r="E112" s="104" t="s">
        <v>210</v>
      </c>
      <c r="F112" s="104"/>
      <c r="G112" s="105">
        <f>G113</f>
        <v>1000</v>
      </c>
      <c r="H112" s="127">
        <f>H113</f>
        <v>0</v>
      </c>
      <c r="I112" s="127">
        <f t="shared" si="3"/>
        <v>0</v>
      </c>
    </row>
    <row r="113" spans="1:9" s="175" customFormat="1" x14ac:dyDescent="0.2">
      <c r="A113" s="112" t="s">
        <v>294</v>
      </c>
      <c r="B113" s="113" t="s">
        <v>387</v>
      </c>
      <c r="C113" s="113" t="s">
        <v>469</v>
      </c>
      <c r="D113" s="113" t="s">
        <v>470</v>
      </c>
      <c r="E113" s="113" t="s">
        <v>549</v>
      </c>
      <c r="F113" s="113" t="s">
        <v>84</v>
      </c>
      <c r="G113" s="114">
        <f>G114</f>
        <v>1000</v>
      </c>
      <c r="H113" s="128">
        <f>H114</f>
        <v>0</v>
      </c>
      <c r="I113" s="128">
        <f t="shared" si="3"/>
        <v>0</v>
      </c>
    </row>
    <row r="114" spans="1:9" s="175" customFormat="1" x14ac:dyDescent="0.2">
      <c r="A114" s="112" t="s">
        <v>85</v>
      </c>
      <c r="B114" s="113" t="s">
        <v>387</v>
      </c>
      <c r="C114" s="113" t="s">
        <v>469</v>
      </c>
      <c r="D114" s="113" t="s">
        <v>470</v>
      </c>
      <c r="E114" s="113" t="s">
        <v>549</v>
      </c>
      <c r="F114" s="113" t="s">
        <v>86</v>
      </c>
      <c r="G114" s="114">
        <v>1000</v>
      </c>
      <c r="H114" s="128">
        <v>0</v>
      </c>
      <c r="I114" s="128">
        <f t="shared" si="3"/>
        <v>0</v>
      </c>
    </row>
    <row r="115" spans="1:9" s="175" customFormat="1" x14ac:dyDescent="0.2">
      <c r="A115" s="136" t="s">
        <v>471</v>
      </c>
      <c r="B115" s="132" t="s">
        <v>387</v>
      </c>
      <c r="C115" s="132" t="s">
        <v>469</v>
      </c>
      <c r="D115" s="132" t="s">
        <v>470</v>
      </c>
      <c r="E115" s="132" t="s">
        <v>210</v>
      </c>
      <c r="F115" s="132"/>
      <c r="G115" s="137">
        <f>G116</f>
        <v>4000</v>
      </c>
      <c r="H115" s="137">
        <f>H116</f>
        <v>3766.3429999999998</v>
      </c>
      <c r="I115" s="114">
        <f t="shared" si="3"/>
        <v>94.158574999999999</v>
      </c>
    </row>
    <row r="116" spans="1:9" s="175" customFormat="1" x14ac:dyDescent="0.2">
      <c r="A116" s="103" t="s">
        <v>42</v>
      </c>
      <c r="B116" s="104" t="s">
        <v>387</v>
      </c>
      <c r="C116" s="104" t="s">
        <v>469</v>
      </c>
      <c r="D116" s="104" t="s">
        <v>470</v>
      </c>
      <c r="E116" s="104" t="s">
        <v>550</v>
      </c>
      <c r="F116" s="104"/>
      <c r="G116" s="105">
        <f>G117+G119+G121</f>
        <v>4000</v>
      </c>
      <c r="H116" s="105">
        <f>H117+H119+H121</f>
        <v>3766.3429999999998</v>
      </c>
      <c r="I116" s="105">
        <f t="shared" si="3"/>
        <v>94.158574999999999</v>
      </c>
    </row>
    <row r="117" spans="1:9" s="175" customFormat="1" ht="36" x14ac:dyDescent="0.2">
      <c r="A117" s="112" t="s">
        <v>79</v>
      </c>
      <c r="B117" s="113" t="s">
        <v>387</v>
      </c>
      <c r="C117" s="113" t="s">
        <v>469</v>
      </c>
      <c r="D117" s="113" t="s">
        <v>470</v>
      </c>
      <c r="E117" s="113" t="s">
        <v>550</v>
      </c>
      <c r="F117" s="113" t="s">
        <v>80</v>
      </c>
      <c r="G117" s="114">
        <f>G118</f>
        <v>3564</v>
      </c>
      <c r="H117" s="114">
        <f>H118</f>
        <v>3514</v>
      </c>
      <c r="I117" s="114">
        <f t="shared" si="3"/>
        <v>98.597081930415271</v>
      </c>
    </row>
    <row r="118" spans="1:9" s="175" customFormat="1" x14ac:dyDescent="0.2">
      <c r="A118" s="112" t="s">
        <v>472</v>
      </c>
      <c r="B118" s="113" t="s">
        <v>387</v>
      </c>
      <c r="C118" s="113" t="s">
        <v>469</v>
      </c>
      <c r="D118" s="113" t="s">
        <v>470</v>
      </c>
      <c r="E118" s="113" t="s">
        <v>550</v>
      </c>
      <c r="F118" s="113" t="s">
        <v>473</v>
      </c>
      <c r="G118" s="114">
        <f>2640+20+7+47+800+50</f>
        <v>3564</v>
      </c>
      <c r="H118" s="114">
        <v>3514</v>
      </c>
      <c r="I118" s="114">
        <f t="shared" si="3"/>
        <v>98.597081930415271</v>
      </c>
    </row>
    <row r="119" spans="1:9" s="175" customFormat="1" x14ac:dyDescent="0.2">
      <c r="A119" s="112" t="s">
        <v>294</v>
      </c>
      <c r="B119" s="113" t="s">
        <v>387</v>
      </c>
      <c r="C119" s="113" t="s">
        <v>469</v>
      </c>
      <c r="D119" s="113" t="s">
        <v>470</v>
      </c>
      <c r="E119" s="113" t="s">
        <v>550</v>
      </c>
      <c r="F119" s="113" t="s">
        <v>84</v>
      </c>
      <c r="G119" s="114">
        <f>G120</f>
        <v>425</v>
      </c>
      <c r="H119" s="114">
        <f>H120</f>
        <v>252.34299999999999</v>
      </c>
      <c r="I119" s="114">
        <f t="shared" si="3"/>
        <v>59.374823529411756</v>
      </c>
    </row>
    <row r="120" spans="1:9" s="175" customFormat="1" x14ac:dyDescent="0.2">
      <c r="A120" s="112" t="s">
        <v>85</v>
      </c>
      <c r="B120" s="113" t="s">
        <v>387</v>
      </c>
      <c r="C120" s="113" t="s">
        <v>469</v>
      </c>
      <c r="D120" s="113" t="s">
        <v>470</v>
      </c>
      <c r="E120" s="113" t="s">
        <v>550</v>
      </c>
      <c r="F120" s="113" t="s">
        <v>86</v>
      </c>
      <c r="G120" s="114">
        <f>175+185+70+45-50</f>
        <v>425</v>
      </c>
      <c r="H120" s="114">
        <v>252.34299999999999</v>
      </c>
      <c r="I120" s="114">
        <f t="shared" si="3"/>
        <v>59.374823529411756</v>
      </c>
    </row>
    <row r="121" spans="1:9" s="175" customFormat="1" x14ac:dyDescent="0.2">
      <c r="A121" s="112" t="s">
        <v>87</v>
      </c>
      <c r="B121" s="113" t="s">
        <v>387</v>
      </c>
      <c r="C121" s="113" t="s">
        <v>469</v>
      </c>
      <c r="D121" s="113" t="s">
        <v>470</v>
      </c>
      <c r="E121" s="113" t="s">
        <v>550</v>
      </c>
      <c r="F121" s="113" t="s">
        <v>88</v>
      </c>
      <c r="G121" s="114">
        <f>G122</f>
        <v>11</v>
      </c>
      <c r="H121" s="128">
        <f>H122</f>
        <v>0</v>
      </c>
      <c r="I121" s="128">
        <f t="shared" si="3"/>
        <v>0</v>
      </c>
    </row>
    <row r="122" spans="1:9" s="175" customFormat="1" x14ac:dyDescent="0.2">
      <c r="A122" s="112" t="s">
        <v>154</v>
      </c>
      <c r="B122" s="113" t="s">
        <v>387</v>
      </c>
      <c r="C122" s="113" t="s">
        <v>469</v>
      </c>
      <c r="D122" s="113" t="s">
        <v>470</v>
      </c>
      <c r="E122" s="113" t="s">
        <v>550</v>
      </c>
      <c r="F122" s="113" t="s">
        <v>89</v>
      </c>
      <c r="G122" s="114">
        <v>11</v>
      </c>
      <c r="H122" s="128">
        <v>0</v>
      </c>
      <c r="I122" s="128">
        <f t="shared" si="3"/>
        <v>0</v>
      </c>
    </row>
    <row r="123" spans="1:9" s="175" customFormat="1" x14ac:dyDescent="0.2">
      <c r="A123" s="103" t="s">
        <v>353</v>
      </c>
      <c r="B123" s="104" t="s">
        <v>387</v>
      </c>
      <c r="C123" s="104" t="s">
        <v>78</v>
      </c>
      <c r="D123" s="104" t="s">
        <v>77</v>
      </c>
      <c r="E123" s="104"/>
      <c r="F123" s="104"/>
      <c r="G123" s="105">
        <f>G128+G124</f>
        <v>8096.0209999999997</v>
      </c>
      <c r="H123" s="105">
        <f>H128+H124</f>
        <v>6836.0109999999995</v>
      </c>
      <c r="I123" s="105">
        <f t="shared" si="3"/>
        <v>84.436675744788701</v>
      </c>
    </row>
    <row r="124" spans="1:9" s="175" customFormat="1" x14ac:dyDescent="0.2">
      <c r="A124" s="103" t="s">
        <v>724</v>
      </c>
      <c r="B124" s="104" t="s">
        <v>387</v>
      </c>
      <c r="C124" s="104" t="s">
        <v>78</v>
      </c>
      <c r="D124" s="104" t="s">
        <v>76</v>
      </c>
      <c r="E124" s="104"/>
      <c r="F124" s="104"/>
      <c r="G124" s="105">
        <f t="shared" ref="G124:H126" si="6">G125</f>
        <v>836.02099999999996</v>
      </c>
      <c r="H124" s="105">
        <f t="shared" si="6"/>
        <v>836.02099999999996</v>
      </c>
      <c r="I124" s="105">
        <f t="shared" si="3"/>
        <v>100</v>
      </c>
    </row>
    <row r="125" spans="1:9" s="175" customFormat="1" ht="24" x14ac:dyDescent="0.2">
      <c r="A125" s="103" t="s">
        <v>725</v>
      </c>
      <c r="B125" s="104" t="s">
        <v>387</v>
      </c>
      <c r="C125" s="104" t="s">
        <v>78</v>
      </c>
      <c r="D125" s="104" t="s">
        <v>76</v>
      </c>
      <c r="E125" s="104" t="s">
        <v>726</v>
      </c>
      <c r="F125" s="104"/>
      <c r="G125" s="105">
        <f t="shared" si="6"/>
        <v>836.02099999999996</v>
      </c>
      <c r="H125" s="105">
        <f t="shared" si="6"/>
        <v>836.02099999999996</v>
      </c>
      <c r="I125" s="105">
        <f t="shared" si="3"/>
        <v>100</v>
      </c>
    </row>
    <row r="126" spans="1:9" s="175" customFormat="1" ht="36" x14ac:dyDescent="0.2">
      <c r="A126" s="112" t="s">
        <v>79</v>
      </c>
      <c r="B126" s="113" t="s">
        <v>387</v>
      </c>
      <c r="C126" s="113" t="s">
        <v>78</v>
      </c>
      <c r="D126" s="113" t="s">
        <v>76</v>
      </c>
      <c r="E126" s="113" t="s">
        <v>726</v>
      </c>
      <c r="F126" s="113" t="s">
        <v>80</v>
      </c>
      <c r="G126" s="114">
        <f t="shared" si="6"/>
        <v>836.02099999999996</v>
      </c>
      <c r="H126" s="114">
        <f t="shared" si="6"/>
        <v>836.02099999999996</v>
      </c>
      <c r="I126" s="114">
        <f t="shared" si="3"/>
        <v>100</v>
      </c>
    </row>
    <row r="127" spans="1:9" s="175" customFormat="1" x14ac:dyDescent="0.2">
      <c r="A127" s="112" t="s">
        <v>81</v>
      </c>
      <c r="B127" s="113" t="s">
        <v>387</v>
      </c>
      <c r="C127" s="113" t="s">
        <v>78</v>
      </c>
      <c r="D127" s="113" t="s">
        <v>76</v>
      </c>
      <c r="E127" s="113" t="s">
        <v>726</v>
      </c>
      <c r="F127" s="113" t="s">
        <v>82</v>
      </c>
      <c r="G127" s="114">
        <v>836.02099999999996</v>
      </c>
      <c r="H127" s="114">
        <v>836.02099999999996</v>
      </c>
      <c r="I127" s="114">
        <f t="shared" si="3"/>
        <v>100</v>
      </c>
    </row>
    <row r="128" spans="1:9" s="175" customFormat="1" x14ac:dyDescent="0.2">
      <c r="A128" s="103" t="s">
        <v>388</v>
      </c>
      <c r="B128" s="104" t="s">
        <v>387</v>
      </c>
      <c r="C128" s="104" t="s">
        <v>78</v>
      </c>
      <c r="D128" s="104" t="s">
        <v>475</v>
      </c>
      <c r="E128" s="123"/>
      <c r="F128" s="113"/>
      <c r="G128" s="105">
        <f>G129+G145</f>
        <v>7260</v>
      </c>
      <c r="H128" s="105">
        <f>H129+H145</f>
        <v>5999.99</v>
      </c>
      <c r="I128" s="105">
        <f t="shared" si="3"/>
        <v>82.644490358126717</v>
      </c>
    </row>
    <row r="129" spans="1:9" s="175" customFormat="1" ht="40.5" x14ac:dyDescent="0.2">
      <c r="A129" s="116" t="s">
        <v>551</v>
      </c>
      <c r="B129" s="107" t="s">
        <v>387</v>
      </c>
      <c r="C129" s="107" t="s">
        <v>78</v>
      </c>
      <c r="D129" s="107" t="s">
        <v>475</v>
      </c>
      <c r="E129" s="107" t="s">
        <v>214</v>
      </c>
      <c r="F129" s="107"/>
      <c r="G129" s="145">
        <f>G130+G133+G136+G139+G142</f>
        <v>1260</v>
      </c>
      <c r="H129" s="145">
        <f>H130+H133+H136+H139+H142</f>
        <v>0</v>
      </c>
      <c r="I129" s="212">
        <f t="shared" si="3"/>
        <v>0</v>
      </c>
    </row>
    <row r="130" spans="1:9" s="175" customFormat="1" ht="48" x14ac:dyDescent="0.2">
      <c r="A130" s="146" t="s">
        <v>552</v>
      </c>
      <c r="B130" s="104" t="s">
        <v>387</v>
      </c>
      <c r="C130" s="104" t="s">
        <v>78</v>
      </c>
      <c r="D130" s="104" t="s">
        <v>475</v>
      </c>
      <c r="E130" s="104" t="s">
        <v>553</v>
      </c>
      <c r="F130" s="104"/>
      <c r="G130" s="147">
        <f>G131</f>
        <v>200</v>
      </c>
      <c r="H130" s="147">
        <f>H131</f>
        <v>0</v>
      </c>
      <c r="I130" s="212">
        <f t="shared" si="3"/>
        <v>0</v>
      </c>
    </row>
    <row r="131" spans="1:9" s="175" customFormat="1" x14ac:dyDescent="0.2">
      <c r="A131" s="112" t="s">
        <v>294</v>
      </c>
      <c r="B131" s="113" t="s">
        <v>387</v>
      </c>
      <c r="C131" s="113" t="s">
        <v>78</v>
      </c>
      <c r="D131" s="113" t="s">
        <v>475</v>
      </c>
      <c r="E131" s="113" t="s">
        <v>553</v>
      </c>
      <c r="F131" s="113" t="s">
        <v>84</v>
      </c>
      <c r="G131" s="148">
        <f>G132</f>
        <v>200</v>
      </c>
      <c r="H131" s="148">
        <f>H132</f>
        <v>0</v>
      </c>
      <c r="I131" s="212">
        <f t="shared" si="3"/>
        <v>0</v>
      </c>
    </row>
    <row r="132" spans="1:9" s="175" customFormat="1" x14ac:dyDescent="0.2">
      <c r="A132" s="112" t="s">
        <v>85</v>
      </c>
      <c r="B132" s="130">
        <v>598</v>
      </c>
      <c r="C132" s="113" t="s">
        <v>78</v>
      </c>
      <c r="D132" s="113" t="s">
        <v>475</v>
      </c>
      <c r="E132" s="113" t="s">
        <v>553</v>
      </c>
      <c r="F132" s="113" t="s">
        <v>86</v>
      </c>
      <c r="G132" s="148">
        <v>200</v>
      </c>
      <c r="H132" s="148">
        <v>0</v>
      </c>
      <c r="I132" s="212">
        <f t="shared" si="3"/>
        <v>0</v>
      </c>
    </row>
    <row r="133" spans="1:9" s="175" customFormat="1" ht="48" x14ac:dyDescent="0.2">
      <c r="A133" s="146" t="s">
        <v>721</v>
      </c>
      <c r="B133" s="104" t="s">
        <v>387</v>
      </c>
      <c r="C133" s="104" t="s">
        <v>78</v>
      </c>
      <c r="D133" s="104" t="s">
        <v>475</v>
      </c>
      <c r="E133" s="104" t="s">
        <v>554</v>
      </c>
      <c r="F133" s="104"/>
      <c r="G133" s="147">
        <f>G134</f>
        <v>300</v>
      </c>
      <c r="H133" s="147">
        <f>H134</f>
        <v>0</v>
      </c>
      <c r="I133" s="212">
        <f t="shared" si="3"/>
        <v>0</v>
      </c>
    </row>
    <row r="134" spans="1:9" s="175" customFormat="1" x14ac:dyDescent="0.2">
      <c r="A134" s="112" t="s">
        <v>294</v>
      </c>
      <c r="B134" s="113" t="s">
        <v>387</v>
      </c>
      <c r="C134" s="113" t="s">
        <v>78</v>
      </c>
      <c r="D134" s="113" t="s">
        <v>475</v>
      </c>
      <c r="E134" s="113" t="s">
        <v>554</v>
      </c>
      <c r="F134" s="113" t="s">
        <v>84</v>
      </c>
      <c r="G134" s="148">
        <f>G135</f>
        <v>300</v>
      </c>
      <c r="H134" s="148">
        <f>H135</f>
        <v>0</v>
      </c>
      <c r="I134" s="212">
        <f t="shared" si="3"/>
        <v>0</v>
      </c>
    </row>
    <row r="135" spans="1:9" s="175" customFormat="1" x14ac:dyDescent="0.2">
      <c r="A135" s="112" t="s">
        <v>85</v>
      </c>
      <c r="B135" s="130">
        <v>598</v>
      </c>
      <c r="C135" s="113" t="s">
        <v>78</v>
      </c>
      <c r="D135" s="113" t="s">
        <v>475</v>
      </c>
      <c r="E135" s="113" t="s">
        <v>554</v>
      </c>
      <c r="F135" s="113" t="s">
        <v>86</v>
      </c>
      <c r="G135" s="148">
        <v>300</v>
      </c>
      <c r="H135" s="148">
        <v>0</v>
      </c>
      <c r="I135" s="212">
        <f t="shared" si="3"/>
        <v>0</v>
      </c>
    </row>
    <row r="136" spans="1:9" s="175" customFormat="1" ht="36" x14ac:dyDescent="0.2">
      <c r="A136" s="103" t="s">
        <v>555</v>
      </c>
      <c r="B136" s="104" t="s">
        <v>387</v>
      </c>
      <c r="C136" s="104" t="s">
        <v>78</v>
      </c>
      <c r="D136" s="104" t="s">
        <v>475</v>
      </c>
      <c r="E136" s="104" t="s">
        <v>556</v>
      </c>
      <c r="F136" s="104"/>
      <c r="G136" s="147">
        <f>G137</f>
        <v>300</v>
      </c>
      <c r="H136" s="147">
        <f>H137</f>
        <v>0</v>
      </c>
      <c r="I136" s="212">
        <f t="shared" si="3"/>
        <v>0</v>
      </c>
    </row>
    <row r="137" spans="1:9" s="175" customFormat="1" x14ac:dyDescent="0.2">
      <c r="A137" s="112" t="s">
        <v>294</v>
      </c>
      <c r="B137" s="113" t="s">
        <v>387</v>
      </c>
      <c r="C137" s="113" t="s">
        <v>78</v>
      </c>
      <c r="D137" s="113" t="s">
        <v>475</v>
      </c>
      <c r="E137" s="113" t="s">
        <v>556</v>
      </c>
      <c r="F137" s="113" t="s">
        <v>84</v>
      </c>
      <c r="G137" s="148">
        <f>G138</f>
        <v>300</v>
      </c>
      <c r="H137" s="148">
        <f>H138</f>
        <v>0</v>
      </c>
      <c r="I137" s="212">
        <f t="shared" ref="I137:I200" si="7">H137/G137*100</f>
        <v>0</v>
      </c>
    </row>
    <row r="138" spans="1:9" s="175" customFormat="1" x14ac:dyDescent="0.2">
      <c r="A138" s="112" t="s">
        <v>85</v>
      </c>
      <c r="B138" s="130">
        <v>598</v>
      </c>
      <c r="C138" s="113" t="s">
        <v>78</v>
      </c>
      <c r="D138" s="113" t="s">
        <v>475</v>
      </c>
      <c r="E138" s="113" t="s">
        <v>556</v>
      </c>
      <c r="F138" s="113" t="s">
        <v>86</v>
      </c>
      <c r="G138" s="148">
        <v>300</v>
      </c>
      <c r="H138" s="148"/>
      <c r="I138" s="212">
        <f t="shared" si="7"/>
        <v>0</v>
      </c>
    </row>
    <row r="139" spans="1:9" s="175" customFormat="1" ht="24" x14ac:dyDescent="0.2">
      <c r="A139" s="103" t="s">
        <v>483</v>
      </c>
      <c r="B139" s="104" t="s">
        <v>387</v>
      </c>
      <c r="C139" s="104" t="s">
        <v>78</v>
      </c>
      <c r="D139" s="104" t="s">
        <v>475</v>
      </c>
      <c r="E139" s="104" t="s">
        <v>557</v>
      </c>
      <c r="F139" s="104"/>
      <c r="G139" s="147">
        <f>G140</f>
        <v>400</v>
      </c>
      <c r="H139" s="147">
        <v>0</v>
      </c>
      <c r="I139" s="212">
        <f t="shared" si="7"/>
        <v>0</v>
      </c>
    </row>
    <row r="140" spans="1:9" s="175" customFormat="1" x14ac:dyDescent="0.2">
      <c r="A140" s="112" t="s">
        <v>294</v>
      </c>
      <c r="B140" s="113" t="s">
        <v>387</v>
      </c>
      <c r="C140" s="113" t="s">
        <v>78</v>
      </c>
      <c r="D140" s="113" t="s">
        <v>475</v>
      </c>
      <c r="E140" s="113" t="s">
        <v>557</v>
      </c>
      <c r="F140" s="113" t="s">
        <v>84</v>
      </c>
      <c r="G140" s="148">
        <f>G141</f>
        <v>400</v>
      </c>
      <c r="H140" s="148">
        <f>H141</f>
        <v>0</v>
      </c>
      <c r="I140" s="212">
        <f t="shared" si="7"/>
        <v>0</v>
      </c>
    </row>
    <row r="141" spans="1:9" s="175" customFormat="1" x14ac:dyDescent="0.2">
      <c r="A141" s="112" t="s">
        <v>85</v>
      </c>
      <c r="B141" s="130">
        <v>598</v>
      </c>
      <c r="C141" s="113" t="s">
        <v>78</v>
      </c>
      <c r="D141" s="113" t="s">
        <v>475</v>
      </c>
      <c r="E141" s="113" t="s">
        <v>557</v>
      </c>
      <c r="F141" s="113" t="s">
        <v>86</v>
      </c>
      <c r="G141" s="148">
        <v>400</v>
      </c>
      <c r="H141" s="148">
        <v>0</v>
      </c>
      <c r="I141" s="212">
        <f t="shared" si="7"/>
        <v>0</v>
      </c>
    </row>
    <row r="142" spans="1:9" s="175" customFormat="1" ht="24" x14ac:dyDescent="0.2">
      <c r="A142" s="103" t="s">
        <v>558</v>
      </c>
      <c r="B142" s="104" t="s">
        <v>387</v>
      </c>
      <c r="C142" s="104" t="s">
        <v>78</v>
      </c>
      <c r="D142" s="104" t="s">
        <v>475</v>
      </c>
      <c r="E142" s="104" t="s">
        <v>559</v>
      </c>
      <c r="F142" s="104"/>
      <c r="G142" s="147">
        <f>G143</f>
        <v>60</v>
      </c>
      <c r="H142" s="147">
        <f>H143</f>
        <v>0</v>
      </c>
      <c r="I142" s="212">
        <f t="shared" si="7"/>
        <v>0</v>
      </c>
    </row>
    <row r="143" spans="1:9" s="175" customFormat="1" x14ac:dyDescent="0.2">
      <c r="A143" s="112" t="s">
        <v>294</v>
      </c>
      <c r="B143" s="113" t="s">
        <v>387</v>
      </c>
      <c r="C143" s="113" t="s">
        <v>78</v>
      </c>
      <c r="D143" s="113" t="s">
        <v>475</v>
      </c>
      <c r="E143" s="113" t="s">
        <v>559</v>
      </c>
      <c r="F143" s="113" t="s">
        <v>84</v>
      </c>
      <c r="G143" s="148">
        <f>G144</f>
        <v>60</v>
      </c>
      <c r="H143" s="148">
        <f>H144</f>
        <v>0</v>
      </c>
      <c r="I143" s="212">
        <f t="shared" si="7"/>
        <v>0</v>
      </c>
    </row>
    <row r="144" spans="1:9" s="175" customFormat="1" x14ac:dyDescent="0.2">
      <c r="A144" s="112" t="s">
        <v>85</v>
      </c>
      <c r="B144" s="130">
        <v>598</v>
      </c>
      <c r="C144" s="113" t="s">
        <v>78</v>
      </c>
      <c r="D144" s="113" t="s">
        <v>475</v>
      </c>
      <c r="E144" s="113" t="s">
        <v>559</v>
      </c>
      <c r="F144" s="113" t="s">
        <v>86</v>
      </c>
      <c r="G144" s="148">
        <f>300-240</f>
        <v>60</v>
      </c>
      <c r="H144" s="148">
        <v>0</v>
      </c>
      <c r="I144" s="212">
        <f t="shared" si="7"/>
        <v>0</v>
      </c>
    </row>
    <row r="145" spans="1:9" s="175" customFormat="1" x14ac:dyDescent="0.2">
      <c r="A145" s="138" t="s">
        <v>74</v>
      </c>
      <c r="B145" s="118" t="s">
        <v>387</v>
      </c>
      <c r="C145" s="118" t="s">
        <v>78</v>
      </c>
      <c r="D145" s="118" t="s">
        <v>475</v>
      </c>
      <c r="E145" s="118" t="s">
        <v>209</v>
      </c>
      <c r="F145" s="118"/>
      <c r="G145" s="119">
        <f>G146</f>
        <v>6000</v>
      </c>
      <c r="H145" s="119">
        <f>H146</f>
        <v>5999.99</v>
      </c>
      <c r="I145" s="119">
        <f t="shared" si="7"/>
        <v>99.999833333333328</v>
      </c>
    </row>
    <row r="146" spans="1:9" s="175" customFormat="1" x14ac:dyDescent="0.2">
      <c r="A146" s="103" t="s">
        <v>297</v>
      </c>
      <c r="B146" s="143">
        <v>598</v>
      </c>
      <c r="C146" s="104" t="s">
        <v>78</v>
      </c>
      <c r="D146" s="104" t="s">
        <v>475</v>
      </c>
      <c r="E146" s="104" t="s">
        <v>210</v>
      </c>
      <c r="F146" s="104"/>
      <c r="G146" s="105">
        <f>G147+G150</f>
        <v>6000</v>
      </c>
      <c r="H146" s="105">
        <f>H147+H150</f>
        <v>5999.99</v>
      </c>
      <c r="I146" s="105">
        <f t="shared" si="7"/>
        <v>99.999833333333328</v>
      </c>
    </row>
    <row r="147" spans="1:9" s="175" customFormat="1" ht="24" x14ac:dyDescent="0.2">
      <c r="A147" s="103" t="s">
        <v>484</v>
      </c>
      <c r="B147" s="143">
        <v>598</v>
      </c>
      <c r="C147" s="104" t="s">
        <v>78</v>
      </c>
      <c r="D147" s="104" t="s">
        <v>475</v>
      </c>
      <c r="E147" s="104" t="s">
        <v>560</v>
      </c>
      <c r="F147" s="104"/>
      <c r="G147" s="127">
        <f>G148</f>
        <v>5000</v>
      </c>
      <c r="H147" s="127">
        <f>H148</f>
        <v>4999.99</v>
      </c>
      <c r="I147" s="105">
        <f t="shared" si="7"/>
        <v>99.999799999999993</v>
      </c>
    </row>
    <row r="148" spans="1:9" s="175" customFormat="1" x14ac:dyDescent="0.2">
      <c r="A148" s="112" t="s">
        <v>294</v>
      </c>
      <c r="B148" s="113" t="s">
        <v>387</v>
      </c>
      <c r="C148" s="113" t="s">
        <v>78</v>
      </c>
      <c r="D148" s="113" t="s">
        <v>475</v>
      </c>
      <c r="E148" s="113" t="s">
        <v>560</v>
      </c>
      <c r="F148" s="130">
        <v>200</v>
      </c>
      <c r="G148" s="128">
        <f>G149</f>
        <v>5000</v>
      </c>
      <c r="H148" s="128">
        <f>H149</f>
        <v>4999.99</v>
      </c>
      <c r="I148" s="114">
        <f t="shared" si="7"/>
        <v>99.999799999999993</v>
      </c>
    </row>
    <row r="149" spans="1:9" s="175" customFormat="1" x14ac:dyDescent="0.2">
      <c r="A149" s="112" t="s">
        <v>85</v>
      </c>
      <c r="B149" s="130">
        <v>598</v>
      </c>
      <c r="C149" s="113" t="s">
        <v>78</v>
      </c>
      <c r="D149" s="113" t="s">
        <v>475</v>
      </c>
      <c r="E149" s="113" t="s">
        <v>560</v>
      </c>
      <c r="F149" s="113" t="s">
        <v>86</v>
      </c>
      <c r="G149" s="128">
        <f>1000+4000</f>
        <v>5000</v>
      </c>
      <c r="H149" s="128">
        <v>4999.99</v>
      </c>
      <c r="I149" s="114">
        <f t="shared" si="7"/>
        <v>99.999799999999993</v>
      </c>
    </row>
    <row r="150" spans="1:9" s="175" customFormat="1" x14ac:dyDescent="0.2">
      <c r="A150" s="103" t="s">
        <v>717</v>
      </c>
      <c r="B150" s="143">
        <v>598</v>
      </c>
      <c r="C150" s="104" t="s">
        <v>78</v>
      </c>
      <c r="D150" s="104" t="s">
        <v>475</v>
      </c>
      <c r="E150" s="104" t="s">
        <v>718</v>
      </c>
      <c r="F150" s="113"/>
      <c r="G150" s="127">
        <f>G151</f>
        <v>1000</v>
      </c>
      <c r="H150" s="127">
        <f>H151</f>
        <v>1000</v>
      </c>
      <c r="I150" s="105">
        <f t="shared" si="7"/>
        <v>100</v>
      </c>
    </row>
    <row r="151" spans="1:9" s="175" customFormat="1" x14ac:dyDescent="0.2">
      <c r="A151" s="112" t="s">
        <v>95</v>
      </c>
      <c r="B151" s="113" t="s">
        <v>387</v>
      </c>
      <c r="C151" s="113" t="s">
        <v>78</v>
      </c>
      <c r="D151" s="113" t="s">
        <v>475</v>
      </c>
      <c r="E151" s="113" t="s">
        <v>718</v>
      </c>
      <c r="F151" s="113" t="s">
        <v>94</v>
      </c>
      <c r="G151" s="128">
        <f>G152</f>
        <v>1000</v>
      </c>
      <c r="H151" s="128">
        <f>H152</f>
        <v>1000</v>
      </c>
      <c r="I151" s="114">
        <f t="shared" si="7"/>
        <v>100</v>
      </c>
    </row>
    <row r="152" spans="1:9" s="175" customFormat="1" x14ac:dyDescent="0.2">
      <c r="A152" s="112" t="s">
        <v>676</v>
      </c>
      <c r="B152" s="130">
        <v>598</v>
      </c>
      <c r="C152" s="113" t="s">
        <v>78</v>
      </c>
      <c r="D152" s="113" t="s">
        <v>475</v>
      </c>
      <c r="E152" s="113" t="s">
        <v>718</v>
      </c>
      <c r="F152" s="113" t="s">
        <v>656</v>
      </c>
      <c r="G152" s="128">
        <v>1000</v>
      </c>
      <c r="H152" s="128">
        <v>1000</v>
      </c>
      <c r="I152" s="114">
        <f t="shared" si="7"/>
        <v>100</v>
      </c>
    </row>
    <row r="153" spans="1:9" s="175" customFormat="1" x14ac:dyDescent="0.2">
      <c r="A153" s="103" t="s">
        <v>389</v>
      </c>
      <c r="B153" s="104">
        <v>598</v>
      </c>
      <c r="C153" s="104" t="s">
        <v>501</v>
      </c>
      <c r="D153" s="104" t="s">
        <v>77</v>
      </c>
      <c r="E153" s="104"/>
      <c r="F153" s="104"/>
      <c r="G153" s="105">
        <f>G154+G160</f>
        <v>72614.167000000001</v>
      </c>
      <c r="H153" s="105">
        <f>H154+H160</f>
        <v>70278.085000000006</v>
      </c>
      <c r="I153" s="105">
        <f t="shared" si="7"/>
        <v>96.78288397910012</v>
      </c>
    </row>
    <row r="154" spans="1:9" s="175" customFormat="1" x14ac:dyDescent="0.2">
      <c r="A154" s="103" t="s">
        <v>372</v>
      </c>
      <c r="B154" s="104" t="s">
        <v>387</v>
      </c>
      <c r="C154" s="104" t="s">
        <v>501</v>
      </c>
      <c r="D154" s="104" t="s">
        <v>76</v>
      </c>
      <c r="E154" s="104" t="s">
        <v>209</v>
      </c>
      <c r="F154" s="104"/>
      <c r="G154" s="105">
        <f t="shared" ref="G154:H158" si="8">G155</f>
        <v>17150</v>
      </c>
      <c r="H154" s="105">
        <f t="shared" si="8"/>
        <v>17150</v>
      </c>
      <c r="I154" s="105">
        <f t="shared" si="7"/>
        <v>100</v>
      </c>
    </row>
    <row r="155" spans="1:9" s="175" customFormat="1" x14ac:dyDescent="0.2">
      <c r="A155" s="117" t="s">
        <v>439</v>
      </c>
      <c r="B155" s="118">
        <v>598</v>
      </c>
      <c r="C155" s="118" t="s">
        <v>501</v>
      </c>
      <c r="D155" s="118" t="s">
        <v>76</v>
      </c>
      <c r="E155" s="118" t="s">
        <v>209</v>
      </c>
      <c r="F155" s="104"/>
      <c r="G155" s="119">
        <f t="shared" si="8"/>
        <v>17150</v>
      </c>
      <c r="H155" s="119">
        <f t="shared" si="8"/>
        <v>17150</v>
      </c>
      <c r="I155" s="119">
        <f t="shared" si="7"/>
        <v>100</v>
      </c>
    </row>
    <row r="156" spans="1:9" s="174" customFormat="1" x14ac:dyDescent="0.2">
      <c r="A156" s="103" t="s">
        <v>297</v>
      </c>
      <c r="B156" s="104">
        <v>598</v>
      </c>
      <c r="C156" s="104" t="s">
        <v>501</v>
      </c>
      <c r="D156" s="104" t="s">
        <v>76</v>
      </c>
      <c r="E156" s="104" t="s">
        <v>210</v>
      </c>
      <c r="F156" s="104"/>
      <c r="G156" s="105">
        <f t="shared" si="8"/>
        <v>17150</v>
      </c>
      <c r="H156" s="105">
        <f t="shared" si="8"/>
        <v>17150</v>
      </c>
      <c r="I156" s="105">
        <f t="shared" si="7"/>
        <v>100</v>
      </c>
    </row>
    <row r="157" spans="1:9" s="174" customFormat="1" ht="24" x14ac:dyDescent="0.2">
      <c r="A157" s="103" t="s">
        <v>384</v>
      </c>
      <c r="B157" s="104" t="s">
        <v>387</v>
      </c>
      <c r="C157" s="104" t="s">
        <v>501</v>
      </c>
      <c r="D157" s="104" t="s">
        <v>76</v>
      </c>
      <c r="E157" s="104" t="s">
        <v>485</v>
      </c>
      <c r="F157" s="104"/>
      <c r="G157" s="105">
        <f t="shared" si="8"/>
        <v>17150</v>
      </c>
      <c r="H157" s="105">
        <f t="shared" si="8"/>
        <v>17150</v>
      </c>
      <c r="I157" s="105">
        <f t="shared" si="7"/>
        <v>100</v>
      </c>
    </row>
    <row r="158" spans="1:9" s="201" customFormat="1" x14ac:dyDescent="0.2">
      <c r="A158" s="112" t="s">
        <v>95</v>
      </c>
      <c r="B158" s="113" t="s">
        <v>387</v>
      </c>
      <c r="C158" s="113" t="s">
        <v>501</v>
      </c>
      <c r="D158" s="113" t="s">
        <v>76</v>
      </c>
      <c r="E158" s="113" t="s">
        <v>485</v>
      </c>
      <c r="F158" s="113" t="s">
        <v>94</v>
      </c>
      <c r="G158" s="114">
        <f t="shared" si="8"/>
        <v>17150</v>
      </c>
      <c r="H158" s="114">
        <f t="shared" si="8"/>
        <v>17150</v>
      </c>
      <c r="I158" s="114">
        <f t="shared" si="7"/>
        <v>100</v>
      </c>
    </row>
    <row r="159" spans="1:9" s="201" customFormat="1" x14ac:dyDescent="0.2">
      <c r="A159" s="112" t="s">
        <v>155</v>
      </c>
      <c r="B159" s="113" t="s">
        <v>387</v>
      </c>
      <c r="C159" s="113" t="s">
        <v>501</v>
      </c>
      <c r="D159" s="113" t="s">
        <v>76</v>
      </c>
      <c r="E159" s="113" t="s">
        <v>485</v>
      </c>
      <c r="F159" s="113" t="s">
        <v>504</v>
      </c>
      <c r="G159" s="114">
        <v>17150</v>
      </c>
      <c r="H159" s="114">
        <v>17150</v>
      </c>
      <c r="I159" s="114">
        <f t="shared" si="7"/>
        <v>100</v>
      </c>
    </row>
    <row r="160" spans="1:9" s="115" customFormat="1" x14ac:dyDescent="0.2">
      <c r="A160" s="103" t="s">
        <v>377</v>
      </c>
      <c r="B160" s="104" t="s">
        <v>387</v>
      </c>
      <c r="C160" s="104" t="s">
        <v>501</v>
      </c>
      <c r="D160" s="104" t="s">
        <v>469</v>
      </c>
      <c r="E160" s="104"/>
      <c r="F160" s="104"/>
      <c r="G160" s="105">
        <f>G161+G175</f>
        <v>55464.167000000001</v>
      </c>
      <c r="H160" s="105">
        <f>H161+H175</f>
        <v>53128.085000000006</v>
      </c>
      <c r="I160" s="105">
        <f t="shared" si="7"/>
        <v>95.788123889068785</v>
      </c>
    </row>
    <row r="161" spans="1:9" s="115" customFormat="1" x14ac:dyDescent="0.2">
      <c r="A161" s="117" t="s">
        <v>439</v>
      </c>
      <c r="B161" s="118">
        <v>598</v>
      </c>
      <c r="C161" s="118" t="s">
        <v>501</v>
      </c>
      <c r="D161" s="118" t="s">
        <v>469</v>
      </c>
      <c r="E161" s="118" t="s">
        <v>209</v>
      </c>
      <c r="F161" s="104"/>
      <c r="G161" s="119">
        <f>G162</f>
        <v>53964.167000000001</v>
      </c>
      <c r="H161" s="119">
        <f>H162</f>
        <v>52123.085000000006</v>
      </c>
      <c r="I161" s="119">
        <f t="shared" si="7"/>
        <v>96.58832498980297</v>
      </c>
    </row>
    <row r="162" spans="1:9" s="175" customFormat="1" x14ac:dyDescent="0.2">
      <c r="A162" s="103" t="s">
        <v>297</v>
      </c>
      <c r="B162" s="104">
        <v>598</v>
      </c>
      <c r="C162" s="104" t="s">
        <v>501</v>
      </c>
      <c r="D162" s="104" t="s">
        <v>469</v>
      </c>
      <c r="E162" s="104" t="s">
        <v>210</v>
      </c>
      <c r="F162" s="104"/>
      <c r="G162" s="105">
        <f>G166+G169+G163+G172</f>
        <v>53964.167000000001</v>
      </c>
      <c r="H162" s="105">
        <f>H166+H169+H163+H172</f>
        <v>52123.085000000006</v>
      </c>
      <c r="I162" s="105">
        <f t="shared" si="7"/>
        <v>96.58832498980297</v>
      </c>
    </row>
    <row r="163" spans="1:9" s="175" customFormat="1" ht="24" x14ac:dyDescent="0.2">
      <c r="A163" s="103" t="s">
        <v>690</v>
      </c>
      <c r="B163" s="104" t="s">
        <v>387</v>
      </c>
      <c r="C163" s="104" t="s">
        <v>501</v>
      </c>
      <c r="D163" s="104" t="s">
        <v>469</v>
      </c>
      <c r="E163" s="149" t="s">
        <v>691</v>
      </c>
      <c r="F163" s="104"/>
      <c r="G163" s="105">
        <f>G164</f>
        <v>30664.167000000001</v>
      </c>
      <c r="H163" s="105">
        <f>H164</f>
        <v>30664.167000000001</v>
      </c>
      <c r="I163" s="105">
        <f t="shared" si="7"/>
        <v>100</v>
      </c>
    </row>
    <row r="164" spans="1:9" s="175" customFormat="1" x14ac:dyDescent="0.2">
      <c r="A164" s="112" t="s">
        <v>95</v>
      </c>
      <c r="B164" s="113" t="s">
        <v>387</v>
      </c>
      <c r="C164" s="113" t="s">
        <v>501</v>
      </c>
      <c r="D164" s="113" t="s">
        <v>469</v>
      </c>
      <c r="E164" s="150" t="s">
        <v>691</v>
      </c>
      <c r="F164" s="113" t="s">
        <v>94</v>
      </c>
      <c r="G164" s="114">
        <f>G165</f>
        <v>30664.167000000001</v>
      </c>
      <c r="H164" s="114">
        <f>H165</f>
        <v>30664.167000000001</v>
      </c>
      <c r="I164" s="114">
        <f t="shared" si="7"/>
        <v>100</v>
      </c>
    </row>
    <row r="165" spans="1:9" s="175" customFormat="1" x14ac:dyDescent="0.2">
      <c r="A165" s="112" t="s">
        <v>96</v>
      </c>
      <c r="B165" s="113" t="s">
        <v>387</v>
      </c>
      <c r="C165" s="113" t="s">
        <v>501</v>
      </c>
      <c r="D165" s="113" t="s">
        <v>469</v>
      </c>
      <c r="E165" s="150" t="s">
        <v>691</v>
      </c>
      <c r="F165" s="113" t="s">
        <v>97</v>
      </c>
      <c r="G165" s="114">
        <v>30664.167000000001</v>
      </c>
      <c r="H165" s="114">
        <v>30664.167000000001</v>
      </c>
      <c r="I165" s="114">
        <f t="shared" si="7"/>
        <v>100</v>
      </c>
    </row>
    <row r="166" spans="1:9" s="175" customFormat="1" x14ac:dyDescent="0.2">
      <c r="A166" s="103" t="s">
        <v>443</v>
      </c>
      <c r="B166" s="104" t="s">
        <v>387</v>
      </c>
      <c r="C166" s="104" t="s">
        <v>501</v>
      </c>
      <c r="D166" s="104" t="s">
        <v>469</v>
      </c>
      <c r="E166" s="149" t="s">
        <v>482</v>
      </c>
      <c r="F166" s="104"/>
      <c r="G166" s="105">
        <f>G167</f>
        <v>3000</v>
      </c>
      <c r="H166" s="105">
        <f>H167</f>
        <v>1247.1079999999999</v>
      </c>
      <c r="I166" s="105">
        <f t="shared" si="7"/>
        <v>41.570266666666669</v>
      </c>
    </row>
    <row r="167" spans="1:9" s="175" customFormat="1" x14ac:dyDescent="0.2">
      <c r="A167" s="112" t="s">
        <v>95</v>
      </c>
      <c r="B167" s="113" t="s">
        <v>387</v>
      </c>
      <c r="C167" s="113" t="s">
        <v>501</v>
      </c>
      <c r="D167" s="113" t="s">
        <v>469</v>
      </c>
      <c r="E167" s="150" t="s">
        <v>482</v>
      </c>
      <c r="F167" s="113" t="s">
        <v>94</v>
      </c>
      <c r="G167" s="114">
        <f>G168</f>
        <v>3000</v>
      </c>
      <c r="H167" s="114">
        <f>H168</f>
        <v>1247.1079999999999</v>
      </c>
      <c r="I167" s="114">
        <f t="shared" si="7"/>
        <v>41.570266666666669</v>
      </c>
    </row>
    <row r="168" spans="1:9" s="175" customFormat="1" x14ac:dyDescent="0.2">
      <c r="A168" s="112" t="s">
        <v>96</v>
      </c>
      <c r="B168" s="113" t="s">
        <v>387</v>
      </c>
      <c r="C168" s="113" t="s">
        <v>501</v>
      </c>
      <c r="D168" s="113" t="s">
        <v>469</v>
      </c>
      <c r="E168" s="150" t="s">
        <v>482</v>
      </c>
      <c r="F168" s="113" t="s">
        <v>97</v>
      </c>
      <c r="G168" s="114">
        <v>3000</v>
      </c>
      <c r="H168" s="114">
        <v>1247.1079999999999</v>
      </c>
      <c r="I168" s="114">
        <f t="shared" si="7"/>
        <v>41.570266666666669</v>
      </c>
    </row>
    <row r="169" spans="1:9" s="175" customFormat="1" ht="24" x14ac:dyDescent="0.2">
      <c r="A169" s="103" t="s">
        <v>561</v>
      </c>
      <c r="B169" s="104" t="s">
        <v>387</v>
      </c>
      <c r="C169" s="104" t="s">
        <v>501</v>
      </c>
      <c r="D169" s="104" t="s">
        <v>469</v>
      </c>
      <c r="E169" s="104" t="s">
        <v>486</v>
      </c>
      <c r="F169" s="104"/>
      <c r="G169" s="105">
        <f>G170</f>
        <v>20000</v>
      </c>
      <c r="H169" s="105">
        <f>H170</f>
        <v>19911.810000000001</v>
      </c>
      <c r="I169" s="105">
        <f t="shared" si="7"/>
        <v>99.559049999999999</v>
      </c>
    </row>
    <row r="170" spans="1:9" s="175" customFormat="1" x14ac:dyDescent="0.2">
      <c r="A170" s="112" t="s">
        <v>95</v>
      </c>
      <c r="B170" s="113" t="s">
        <v>387</v>
      </c>
      <c r="C170" s="113" t="s">
        <v>501</v>
      </c>
      <c r="D170" s="113" t="s">
        <v>469</v>
      </c>
      <c r="E170" s="113" t="s">
        <v>486</v>
      </c>
      <c r="F170" s="113" t="s">
        <v>94</v>
      </c>
      <c r="G170" s="114">
        <f>G171</f>
        <v>20000</v>
      </c>
      <c r="H170" s="114">
        <f>H171</f>
        <v>19911.810000000001</v>
      </c>
      <c r="I170" s="114">
        <f t="shared" si="7"/>
        <v>99.559049999999999</v>
      </c>
    </row>
    <row r="171" spans="1:9" s="175" customFormat="1" x14ac:dyDescent="0.2">
      <c r="A171" s="112" t="s">
        <v>96</v>
      </c>
      <c r="B171" s="113" t="s">
        <v>387</v>
      </c>
      <c r="C171" s="113" t="s">
        <v>501</v>
      </c>
      <c r="D171" s="113" t="s">
        <v>469</v>
      </c>
      <c r="E171" s="113" t="s">
        <v>486</v>
      </c>
      <c r="F171" s="113" t="s">
        <v>97</v>
      </c>
      <c r="G171" s="114">
        <v>20000</v>
      </c>
      <c r="H171" s="114">
        <v>19911.810000000001</v>
      </c>
      <c r="I171" s="114">
        <f t="shared" si="7"/>
        <v>99.559049999999999</v>
      </c>
    </row>
    <row r="172" spans="1:9" s="175" customFormat="1" x14ac:dyDescent="0.2">
      <c r="A172" s="103" t="s">
        <v>91</v>
      </c>
      <c r="B172" s="104">
        <v>598</v>
      </c>
      <c r="C172" s="104" t="s">
        <v>501</v>
      </c>
      <c r="D172" s="104" t="s">
        <v>469</v>
      </c>
      <c r="E172" s="104" t="s">
        <v>314</v>
      </c>
      <c r="F172" s="104"/>
      <c r="G172" s="105">
        <f>G173</f>
        <v>300</v>
      </c>
      <c r="H172" s="105">
        <f>H173</f>
        <v>300</v>
      </c>
      <c r="I172" s="105">
        <f t="shared" si="7"/>
        <v>100</v>
      </c>
    </row>
    <row r="173" spans="1:9" s="175" customFormat="1" x14ac:dyDescent="0.2">
      <c r="A173" s="112" t="s">
        <v>95</v>
      </c>
      <c r="B173" s="113">
        <v>598</v>
      </c>
      <c r="C173" s="113" t="s">
        <v>501</v>
      </c>
      <c r="D173" s="113" t="s">
        <v>469</v>
      </c>
      <c r="E173" s="113" t="s">
        <v>314</v>
      </c>
      <c r="F173" s="113" t="s">
        <v>94</v>
      </c>
      <c r="G173" s="114">
        <f>G174</f>
        <v>300</v>
      </c>
      <c r="H173" s="114">
        <f>H174</f>
        <v>300</v>
      </c>
      <c r="I173" s="114">
        <f t="shared" si="7"/>
        <v>100</v>
      </c>
    </row>
    <row r="174" spans="1:9" s="175" customFormat="1" x14ac:dyDescent="0.2">
      <c r="A174" s="112" t="s">
        <v>96</v>
      </c>
      <c r="B174" s="113">
        <v>598</v>
      </c>
      <c r="C174" s="113" t="s">
        <v>501</v>
      </c>
      <c r="D174" s="113" t="s">
        <v>469</v>
      </c>
      <c r="E174" s="113" t="s">
        <v>314</v>
      </c>
      <c r="F174" s="113" t="s">
        <v>97</v>
      </c>
      <c r="G174" s="114">
        <v>300</v>
      </c>
      <c r="H174" s="114">
        <v>300</v>
      </c>
      <c r="I174" s="114">
        <f t="shared" si="7"/>
        <v>100</v>
      </c>
    </row>
    <row r="175" spans="1:9" s="175" customFormat="1" ht="40.5" x14ac:dyDescent="0.2">
      <c r="A175" s="116" t="s">
        <v>562</v>
      </c>
      <c r="B175" s="107" t="s">
        <v>387</v>
      </c>
      <c r="C175" s="107" t="s">
        <v>501</v>
      </c>
      <c r="D175" s="107" t="s">
        <v>469</v>
      </c>
      <c r="E175" s="142" t="s">
        <v>250</v>
      </c>
      <c r="F175" s="107"/>
      <c r="G175" s="108">
        <f t="shared" ref="G175:H177" si="9">G176</f>
        <v>1500</v>
      </c>
      <c r="H175" s="108">
        <f t="shared" si="9"/>
        <v>1005</v>
      </c>
      <c r="I175" s="108">
        <f t="shared" si="7"/>
        <v>67</v>
      </c>
    </row>
    <row r="176" spans="1:9" s="175" customFormat="1" ht="24" x14ac:dyDescent="0.2">
      <c r="A176" s="134" t="s">
        <v>49</v>
      </c>
      <c r="B176" s="104" t="s">
        <v>387</v>
      </c>
      <c r="C176" s="104" t="s">
        <v>501</v>
      </c>
      <c r="D176" s="104" t="s">
        <v>469</v>
      </c>
      <c r="E176" s="135" t="s">
        <v>563</v>
      </c>
      <c r="F176" s="104"/>
      <c r="G176" s="105">
        <f t="shared" si="9"/>
        <v>1500</v>
      </c>
      <c r="H176" s="105">
        <f t="shared" si="9"/>
        <v>1005</v>
      </c>
      <c r="I176" s="105">
        <f t="shared" si="7"/>
        <v>67</v>
      </c>
    </row>
    <row r="177" spans="1:9" s="175" customFormat="1" x14ac:dyDescent="0.2">
      <c r="A177" s="112" t="s">
        <v>95</v>
      </c>
      <c r="B177" s="113" t="s">
        <v>387</v>
      </c>
      <c r="C177" s="113" t="s">
        <v>501</v>
      </c>
      <c r="D177" s="113" t="s">
        <v>469</v>
      </c>
      <c r="E177" s="123" t="s">
        <v>563</v>
      </c>
      <c r="F177" s="113" t="s">
        <v>94</v>
      </c>
      <c r="G177" s="114">
        <f t="shared" si="9"/>
        <v>1500</v>
      </c>
      <c r="H177" s="114">
        <f t="shared" si="9"/>
        <v>1005</v>
      </c>
      <c r="I177" s="114">
        <f t="shared" si="7"/>
        <v>67</v>
      </c>
    </row>
    <row r="178" spans="1:9" s="175" customFormat="1" x14ac:dyDescent="0.2">
      <c r="A178" s="112" t="s">
        <v>155</v>
      </c>
      <c r="B178" s="113" t="s">
        <v>387</v>
      </c>
      <c r="C178" s="113" t="s">
        <v>501</v>
      </c>
      <c r="D178" s="113" t="s">
        <v>469</v>
      </c>
      <c r="E178" s="123" t="s">
        <v>563</v>
      </c>
      <c r="F178" s="113" t="s">
        <v>504</v>
      </c>
      <c r="G178" s="114">
        <v>1500</v>
      </c>
      <c r="H178" s="114">
        <v>1005</v>
      </c>
      <c r="I178" s="114">
        <f t="shared" si="7"/>
        <v>67</v>
      </c>
    </row>
    <row r="179" spans="1:9" s="175" customFormat="1" x14ac:dyDescent="0.2">
      <c r="A179" s="103" t="s">
        <v>382</v>
      </c>
      <c r="B179" s="104" t="s">
        <v>387</v>
      </c>
      <c r="C179" s="104" t="s">
        <v>475</v>
      </c>
      <c r="D179" s="104" t="s">
        <v>77</v>
      </c>
      <c r="E179" s="104"/>
      <c r="F179" s="104"/>
      <c r="G179" s="105">
        <f>G180+G192</f>
        <v>9330</v>
      </c>
      <c r="H179" s="105">
        <f>H180+H192</f>
        <v>9227.0049999999992</v>
      </c>
      <c r="I179" s="105">
        <f t="shared" si="7"/>
        <v>98.896087888531611</v>
      </c>
    </row>
    <row r="180" spans="1:9" s="175" customFormat="1" x14ac:dyDescent="0.2">
      <c r="A180" s="103" t="s">
        <v>370</v>
      </c>
      <c r="B180" s="104" t="s">
        <v>387</v>
      </c>
      <c r="C180" s="104" t="s">
        <v>475</v>
      </c>
      <c r="D180" s="104" t="s">
        <v>76</v>
      </c>
      <c r="E180" s="104" t="s">
        <v>209</v>
      </c>
      <c r="F180" s="104"/>
      <c r="G180" s="105">
        <f t="shared" ref="G180:H182" si="10">G181</f>
        <v>2320</v>
      </c>
      <c r="H180" s="105">
        <f t="shared" si="10"/>
        <v>2217.0049999999997</v>
      </c>
      <c r="I180" s="105">
        <f t="shared" si="7"/>
        <v>95.560560344827579</v>
      </c>
    </row>
    <row r="181" spans="1:9" s="175" customFormat="1" x14ac:dyDescent="0.2">
      <c r="A181" s="103" t="s">
        <v>108</v>
      </c>
      <c r="B181" s="104" t="s">
        <v>387</v>
      </c>
      <c r="C181" s="104" t="s">
        <v>475</v>
      </c>
      <c r="D181" s="104" t="s">
        <v>76</v>
      </c>
      <c r="E181" s="104" t="s">
        <v>210</v>
      </c>
      <c r="F181" s="104"/>
      <c r="G181" s="105">
        <f t="shared" si="10"/>
        <v>2320</v>
      </c>
      <c r="H181" s="105">
        <f t="shared" si="10"/>
        <v>2217.0049999999997</v>
      </c>
      <c r="I181" s="105">
        <f t="shared" si="7"/>
        <v>95.560560344827579</v>
      </c>
    </row>
    <row r="182" spans="1:9" s="175" customFormat="1" x14ac:dyDescent="0.2">
      <c r="A182" s="136" t="s">
        <v>471</v>
      </c>
      <c r="B182" s="132" t="s">
        <v>387</v>
      </c>
      <c r="C182" s="132" t="s">
        <v>475</v>
      </c>
      <c r="D182" s="132" t="s">
        <v>76</v>
      </c>
      <c r="E182" s="132" t="s">
        <v>338</v>
      </c>
      <c r="F182" s="132"/>
      <c r="G182" s="137">
        <f t="shared" si="10"/>
        <v>2320</v>
      </c>
      <c r="H182" s="137">
        <f t="shared" si="10"/>
        <v>2217.0049999999997</v>
      </c>
      <c r="I182" s="137">
        <f t="shared" si="7"/>
        <v>95.560560344827579</v>
      </c>
    </row>
    <row r="183" spans="1:9" s="175" customFormat="1" x14ac:dyDescent="0.2">
      <c r="A183" s="103" t="s">
        <v>46</v>
      </c>
      <c r="B183" s="104" t="s">
        <v>387</v>
      </c>
      <c r="C183" s="104" t="s">
        <v>475</v>
      </c>
      <c r="D183" s="104" t="s">
        <v>76</v>
      </c>
      <c r="E183" s="104" t="s">
        <v>338</v>
      </c>
      <c r="F183" s="104"/>
      <c r="G183" s="105">
        <f>G184+G186+G188+G190</f>
        <v>2320</v>
      </c>
      <c r="H183" s="105">
        <f>H184+H186+H188+H190</f>
        <v>2217.0049999999997</v>
      </c>
      <c r="I183" s="105">
        <f t="shared" si="7"/>
        <v>95.560560344827579</v>
      </c>
    </row>
    <row r="184" spans="1:9" s="175" customFormat="1" ht="36" x14ac:dyDescent="0.2">
      <c r="A184" s="112" t="s">
        <v>79</v>
      </c>
      <c r="B184" s="113" t="s">
        <v>387</v>
      </c>
      <c r="C184" s="113" t="s">
        <v>475</v>
      </c>
      <c r="D184" s="113" t="s">
        <v>76</v>
      </c>
      <c r="E184" s="113" t="s">
        <v>338</v>
      </c>
      <c r="F184" s="113" t="s">
        <v>80</v>
      </c>
      <c r="G184" s="114">
        <f>G185</f>
        <v>2266.4470000000001</v>
      </c>
      <c r="H184" s="114">
        <f>H185</f>
        <v>2172.808</v>
      </c>
      <c r="I184" s="114">
        <f t="shared" si="7"/>
        <v>95.868467252929364</v>
      </c>
    </row>
    <row r="185" spans="1:9" s="175" customFormat="1" x14ac:dyDescent="0.2">
      <c r="A185" s="112" t="s">
        <v>472</v>
      </c>
      <c r="B185" s="113" t="s">
        <v>387</v>
      </c>
      <c r="C185" s="113" t="s">
        <v>475</v>
      </c>
      <c r="D185" s="113" t="s">
        <v>76</v>
      </c>
      <c r="E185" s="113" t="s">
        <v>338</v>
      </c>
      <c r="F185" s="113" t="s">
        <v>473</v>
      </c>
      <c r="G185" s="114">
        <f>2420+730+12+102-71.314+28.421-954.66</f>
        <v>2266.4470000000001</v>
      </c>
      <c r="H185" s="114">
        <v>2172.808</v>
      </c>
      <c r="I185" s="114">
        <f t="shared" si="7"/>
        <v>95.868467252929364</v>
      </c>
    </row>
    <row r="186" spans="1:9" s="175" customFormat="1" x14ac:dyDescent="0.2">
      <c r="A186" s="112" t="s">
        <v>294</v>
      </c>
      <c r="B186" s="113" t="s">
        <v>387</v>
      </c>
      <c r="C186" s="113" t="s">
        <v>475</v>
      </c>
      <c r="D186" s="113" t="s">
        <v>76</v>
      </c>
      <c r="E186" s="113" t="s">
        <v>338</v>
      </c>
      <c r="F186" s="113" t="s">
        <v>84</v>
      </c>
      <c r="G186" s="114">
        <f>G187</f>
        <v>4.6599999999999966</v>
      </c>
      <c r="H186" s="114">
        <f>H187</f>
        <v>4.66</v>
      </c>
      <c r="I186" s="114">
        <f t="shared" si="7"/>
        <v>100.00000000000007</v>
      </c>
    </row>
    <row r="187" spans="1:9" s="175" customFormat="1" x14ac:dyDescent="0.2">
      <c r="A187" s="112" t="s">
        <v>85</v>
      </c>
      <c r="B187" s="113" t="s">
        <v>387</v>
      </c>
      <c r="C187" s="113" t="s">
        <v>475</v>
      </c>
      <c r="D187" s="113" t="s">
        <v>76</v>
      </c>
      <c r="E187" s="113" t="s">
        <v>338</v>
      </c>
      <c r="F187" s="113" t="s">
        <v>86</v>
      </c>
      <c r="G187" s="114">
        <f>50-45.34</f>
        <v>4.6599999999999966</v>
      </c>
      <c r="H187" s="114">
        <v>4.66</v>
      </c>
      <c r="I187" s="114">
        <f t="shared" si="7"/>
        <v>100.00000000000007</v>
      </c>
    </row>
    <row r="188" spans="1:9" s="175" customFormat="1" x14ac:dyDescent="0.2">
      <c r="A188" s="112" t="s">
        <v>95</v>
      </c>
      <c r="B188" s="113" t="s">
        <v>387</v>
      </c>
      <c r="C188" s="113" t="s">
        <v>475</v>
      </c>
      <c r="D188" s="113" t="s">
        <v>76</v>
      </c>
      <c r="E188" s="113" t="s">
        <v>338</v>
      </c>
      <c r="F188" s="113" t="s">
        <v>94</v>
      </c>
      <c r="G188" s="114">
        <f>G189</f>
        <v>39.536999999999999</v>
      </c>
      <c r="H188" s="114">
        <f>H189</f>
        <v>39.536999999999999</v>
      </c>
      <c r="I188" s="114">
        <f t="shared" si="7"/>
        <v>100</v>
      </c>
    </row>
    <row r="189" spans="1:9" s="175" customFormat="1" x14ac:dyDescent="0.2">
      <c r="A189" s="112" t="s">
        <v>96</v>
      </c>
      <c r="B189" s="113" t="s">
        <v>387</v>
      </c>
      <c r="C189" s="113" t="s">
        <v>475</v>
      </c>
      <c r="D189" s="113" t="s">
        <v>76</v>
      </c>
      <c r="E189" s="113" t="s">
        <v>338</v>
      </c>
      <c r="F189" s="113" t="s">
        <v>97</v>
      </c>
      <c r="G189" s="114">
        <v>39.536999999999999</v>
      </c>
      <c r="H189" s="114">
        <v>39.536999999999999</v>
      </c>
      <c r="I189" s="114">
        <f t="shared" si="7"/>
        <v>100</v>
      </c>
    </row>
    <row r="190" spans="1:9" s="175" customFormat="1" x14ac:dyDescent="0.2">
      <c r="A190" s="112" t="s">
        <v>87</v>
      </c>
      <c r="B190" s="113" t="s">
        <v>387</v>
      </c>
      <c r="C190" s="113" t="s">
        <v>475</v>
      </c>
      <c r="D190" s="113" t="s">
        <v>76</v>
      </c>
      <c r="E190" s="113" t="s">
        <v>338</v>
      </c>
      <c r="F190" s="113" t="s">
        <v>88</v>
      </c>
      <c r="G190" s="114">
        <f>G191</f>
        <v>9.3559999999999999</v>
      </c>
      <c r="H190" s="128">
        <f>H191</f>
        <v>0</v>
      </c>
      <c r="I190" s="128">
        <f t="shared" si="7"/>
        <v>0</v>
      </c>
    </row>
    <row r="191" spans="1:9" s="175" customFormat="1" x14ac:dyDescent="0.2">
      <c r="A191" s="112" t="s">
        <v>154</v>
      </c>
      <c r="B191" s="113" t="s">
        <v>387</v>
      </c>
      <c r="C191" s="113" t="s">
        <v>475</v>
      </c>
      <c r="D191" s="113" t="s">
        <v>76</v>
      </c>
      <c r="E191" s="113" t="s">
        <v>338</v>
      </c>
      <c r="F191" s="113" t="s">
        <v>89</v>
      </c>
      <c r="G191" s="114">
        <f>6+0.242+3.114</f>
        <v>9.3559999999999999</v>
      </c>
      <c r="H191" s="128">
        <v>0</v>
      </c>
      <c r="I191" s="128">
        <f t="shared" si="7"/>
        <v>0</v>
      </c>
    </row>
    <row r="192" spans="1:9" s="175" customFormat="1" ht="15.75" x14ac:dyDescent="0.2">
      <c r="A192" s="103" t="s">
        <v>371</v>
      </c>
      <c r="B192" s="104" t="s">
        <v>387</v>
      </c>
      <c r="C192" s="104" t="s">
        <v>475</v>
      </c>
      <c r="D192" s="104" t="s">
        <v>477</v>
      </c>
      <c r="E192" s="104" t="s">
        <v>209</v>
      </c>
      <c r="F192" s="110"/>
      <c r="G192" s="105">
        <f t="shared" ref="G192:H195" si="11">G193</f>
        <v>7010</v>
      </c>
      <c r="H192" s="105">
        <f t="shared" si="11"/>
        <v>7010</v>
      </c>
      <c r="I192" s="127">
        <f t="shared" si="7"/>
        <v>100</v>
      </c>
    </row>
    <row r="193" spans="1:9" s="175" customFormat="1" x14ac:dyDescent="0.2">
      <c r="A193" s="103" t="s">
        <v>108</v>
      </c>
      <c r="B193" s="104" t="s">
        <v>387</v>
      </c>
      <c r="C193" s="104" t="s">
        <v>475</v>
      </c>
      <c r="D193" s="104" t="s">
        <v>477</v>
      </c>
      <c r="E193" s="104" t="s">
        <v>210</v>
      </c>
      <c r="F193" s="104"/>
      <c r="G193" s="105">
        <f t="shared" si="11"/>
        <v>7010</v>
      </c>
      <c r="H193" s="105">
        <f t="shared" si="11"/>
        <v>7010</v>
      </c>
      <c r="I193" s="127">
        <f t="shared" si="7"/>
        <v>100</v>
      </c>
    </row>
    <row r="194" spans="1:9" s="175" customFormat="1" ht="24" x14ac:dyDescent="0.2">
      <c r="A194" s="103" t="s">
        <v>48</v>
      </c>
      <c r="B194" s="104" t="s">
        <v>387</v>
      </c>
      <c r="C194" s="104" t="s">
        <v>475</v>
      </c>
      <c r="D194" s="104" t="s">
        <v>477</v>
      </c>
      <c r="E194" s="104" t="s">
        <v>564</v>
      </c>
      <c r="F194" s="104"/>
      <c r="G194" s="105">
        <f t="shared" si="11"/>
        <v>7010</v>
      </c>
      <c r="H194" s="105">
        <f t="shared" si="11"/>
        <v>7010</v>
      </c>
      <c r="I194" s="127">
        <f t="shared" si="7"/>
        <v>100</v>
      </c>
    </row>
    <row r="195" spans="1:9" s="175" customFormat="1" ht="24" x14ac:dyDescent="0.2">
      <c r="A195" s="112" t="s">
        <v>104</v>
      </c>
      <c r="B195" s="113" t="s">
        <v>387</v>
      </c>
      <c r="C195" s="113" t="s">
        <v>475</v>
      </c>
      <c r="D195" s="113" t="s">
        <v>477</v>
      </c>
      <c r="E195" s="113" t="s">
        <v>564</v>
      </c>
      <c r="F195" s="113" t="s">
        <v>391</v>
      </c>
      <c r="G195" s="114">
        <f t="shared" si="11"/>
        <v>7010</v>
      </c>
      <c r="H195" s="114">
        <f t="shared" si="11"/>
        <v>7010</v>
      </c>
      <c r="I195" s="128">
        <f t="shared" si="7"/>
        <v>100</v>
      </c>
    </row>
    <row r="196" spans="1:9" s="175" customFormat="1" x14ac:dyDescent="0.2">
      <c r="A196" s="112" t="s">
        <v>105</v>
      </c>
      <c r="B196" s="113" t="s">
        <v>387</v>
      </c>
      <c r="C196" s="113" t="s">
        <v>475</v>
      </c>
      <c r="D196" s="113" t="s">
        <v>477</v>
      </c>
      <c r="E196" s="113" t="s">
        <v>564</v>
      </c>
      <c r="F196" s="113" t="s">
        <v>409</v>
      </c>
      <c r="G196" s="114">
        <f>6610+400</f>
        <v>7010</v>
      </c>
      <c r="H196" s="114">
        <v>7010</v>
      </c>
      <c r="I196" s="128">
        <f t="shared" si="7"/>
        <v>100</v>
      </c>
    </row>
    <row r="197" spans="1:9" s="175" customFormat="1" ht="31.5" x14ac:dyDescent="0.2">
      <c r="A197" s="106" t="s">
        <v>758</v>
      </c>
      <c r="B197" s="109">
        <v>599</v>
      </c>
      <c r="C197" s="110"/>
      <c r="D197" s="110"/>
      <c r="E197" s="109"/>
      <c r="F197" s="109"/>
      <c r="G197" s="111">
        <f>G198+G230</f>
        <v>19227.01136</v>
      </c>
      <c r="H197" s="111">
        <f>H198+H230</f>
        <v>18908.200660000002</v>
      </c>
      <c r="I197" s="198">
        <f t="shared" si="7"/>
        <v>98.341860344123717</v>
      </c>
    </row>
    <row r="198" spans="1:9" s="175" customFormat="1" x14ac:dyDescent="0.2">
      <c r="A198" s="103" t="s">
        <v>114</v>
      </c>
      <c r="B198" s="104" t="s">
        <v>390</v>
      </c>
      <c r="C198" s="104" t="s">
        <v>76</v>
      </c>
      <c r="D198" s="104" t="s">
        <v>77</v>
      </c>
      <c r="E198" s="104"/>
      <c r="F198" s="104"/>
      <c r="G198" s="105">
        <f>G199+G213+G219</f>
        <v>17822.226360000001</v>
      </c>
      <c r="H198" s="105">
        <f>H199+H213+H219</f>
        <v>17525.752660000002</v>
      </c>
      <c r="I198" s="127">
        <f t="shared" si="7"/>
        <v>98.336494588210371</v>
      </c>
    </row>
    <row r="199" spans="1:9" s="175" customFormat="1" ht="36" x14ac:dyDescent="0.2">
      <c r="A199" s="103" t="s">
        <v>305</v>
      </c>
      <c r="B199" s="104" t="s">
        <v>390</v>
      </c>
      <c r="C199" s="104" t="s">
        <v>76</v>
      </c>
      <c r="D199" s="104" t="s">
        <v>78</v>
      </c>
      <c r="E199" s="104"/>
      <c r="F199" s="104"/>
      <c r="G199" s="105">
        <f>G200</f>
        <v>17560.95336</v>
      </c>
      <c r="H199" s="105">
        <f>H200</f>
        <v>17359.229660000001</v>
      </c>
      <c r="I199" s="127">
        <f t="shared" si="7"/>
        <v>98.851294141811906</v>
      </c>
    </row>
    <row r="200" spans="1:9" s="175" customFormat="1" x14ac:dyDescent="0.2">
      <c r="A200" s="138" t="s">
        <v>74</v>
      </c>
      <c r="B200" s="118" t="s">
        <v>390</v>
      </c>
      <c r="C200" s="118" t="s">
        <v>76</v>
      </c>
      <c r="D200" s="118" t="s">
        <v>78</v>
      </c>
      <c r="E200" s="118" t="s">
        <v>209</v>
      </c>
      <c r="F200" s="118"/>
      <c r="G200" s="119">
        <f>G201</f>
        <v>17560.95336</v>
      </c>
      <c r="H200" s="119">
        <f>H201</f>
        <v>17359.229660000001</v>
      </c>
      <c r="I200" s="129">
        <f t="shared" si="7"/>
        <v>98.851294141811906</v>
      </c>
    </row>
    <row r="201" spans="1:9" s="175" customFormat="1" x14ac:dyDescent="0.2">
      <c r="A201" s="120" t="s">
        <v>297</v>
      </c>
      <c r="B201" s="104" t="s">
        <v>390</v>
      </c>
      <c r="C201" s="104" t="s">
        <v>76</v>
      </c>
      <c r="D201" s="104" t="s">
        <v>78</v>
      </c>
      <c r="E201" s="104" t="s">
        <v>210</v>
      </c>
      <c r="F201" s="104"/>
      <c r="G201" s="105">
        <f>G202+G205+G210</f>
        <v>17560.95336</v>
      </c>
      <c r="H201" s="105">
        <f>H202+H205+H210</f>
        <v>17359.229660000001</v>
      </c>
      <c r="I201" s="127">
        <f t="shared" ref="I201:I264" si="12">H201/G201*100</f>
        <v>98.851294141811906</v>
      </c>
    </row>
    <row r="202" spans="1:9" s="175" customFormat="1" x14ac:dyDescent="0.2">
      <c r="A202" s="120" t="s">
        <v>296</v>
      </c>
      <c r="B202" s="104" t="s">
        <v>390</v>
      </c>
      <c r="C202" s="104" t="s">
        <v>76</v>
      </c>
      <c r="D202" s="104" t="s">
        <v>78</v>
      </c>
      <c r="E202" s="104" t="s">
        <v>211</v>
      </c>
      <c r="F202" s="104"/>
      <c r="G202" s="105">
        <f>G203</f>
        <v>15192.586160000001</v>
      </c>
      <c r="H202" s="105">
        <f>H203</f>
        <v>15071.35216</v>
      </c>
      <c r="I202" s="127">
        <f t="shared" si="12"/>
        <v>99.202018677246713</v>
      </c>
    </row>
    <row r="203" spans="1:9" s="175" customFormat="1" ht="36" x14ac:dyDescent="0.2">
      <c r="A203" s="112" t="s">
        <v>79</v>
      </c>
      <c r="B203" s="113" t="s">
        <v>390</v>
      </c>
      <c r="C203" s="113" t="s">
        <v>76</v>
      </c>
      <c r="D203" s="113" t="s">
        <v>78</v>
      </c>
      <c r="E203" s="113" t="s">
        <v>211</v>
      </c>
      <c r="F203" s="113" t="s">
        <v>80</v>
      </c>
      <c r="G203" s="114">
        <f>G204</f>
        <v>15192.586160000001</v>
      </c>
      <c r="H203" s="114">
        <f>H204</f>
        <v>15071.35216</v>
      </c>
      <c r="I203" s="128">
        <f t="shared" si="12"/>
        <v>99.202018677246713</v>
      </c>
    </row>
    <row r="204" spans="1:9" s="175" customFormat="1" x14ac:dyDescent="0.2">
      <c r="A204" s="112" t="s">
        <v>81</v>
      </c>
      <c r="B204" s="113" t="s">
        <v>390</v>
      </c>
      <c r="C204" s="113" t="s">
        <v>76</v>
      </c>
      <c r="D204" s="113" t="s">
        <v>78</v>
      </c>
      <c r="E204" s="113" t="s">
        <v>211</v>
      </c>
      <c r="F204" s="113" t="s">
        <v>82</v>
      </c>
      <c r="G204" s="114">
        <f>11525+75+3400+192.58616</f>
        <v>15192.586160000001</v>
      </c>
      <c r="H204" s="114">
        <v>15071.35216</v>
      </c>
      <c r="I204" s="128">
        <f t="shared" si="12"/>
        <v>99.202018677246713</v>
      </c>
    </row>
    <row r="205" spans="1:9" s="175" customFormat="1" x14ac:dyDescent="0.2">
      <c r="A205" s="103" t="s">
        <v>83</v>
      </c>
      <c r="B205" s="104" t="s">
        <v>390</v>
      </c>
      <c r="C205" s="104" t="s">
        <v>76</v>
      </c>
      <c r="D205" s="104" t="s">
        <v>78</v>
      </c>
      <c r="E205" s="104" t="s">
        <v>212</v>
      </c>
      <c r="F205" s="104"/>
      <c r="G205" s="105">
        <f>G206+G208</f>
        <v>2111</v>
      </c>
      <c r="H205" s="105">
        <f>H206+H208</f>
        <v>2043.5603000000001</v>
      </c>
      <c r="I205" s="127">
        <f t="shared" si="12"/>
        <v>96.805319753671242</v>
      </c>
    </row>
    <row r="206" spans="1:9" s="175" customFormat="1" x14ac:dyDescent="0.2">
      <c r="A206" s="112" t="s">
        <v>294</v>
      </c>
      <c r="B206" s="113" t="s">
        <v>390</v>
      </c>
      <c r="C206" s="113" t="s">
        <v>76</v>
      </c>
      <c r="D206" s="113" t="s">
        <v>78</v>
      </c>
      <c r="E206" s="113" t="s">
        <v>212</v>
      </c>
      <c r="F206" s="113" t="s">
        <v>84</v>
      </c>
      <c r="G206" s="114">
        <f>G207</f>
        <v>2105</v>
      </c>
      <c r="H206" s="114">
        <f>H207</f>
        <v>2037.86906</v>
      </c>
      <c r="I206" s="128">
        <f t="shared" si="12"/>
        <v>96.810881710213778</v>
      </c>
    </row>
    <row r="207" spans="1:9" s="175" customFormat="1" x14ac:dyDescent="0.2">
      <c r="A207" s="112" t="s">
        <v>85</v>
      </c>
      <c r="B207" s="113" t="s">
        <v>390</v>
      </c>
      <c r="C207" s="113" t="s">
        <v>76</v>
      </c>
      <c r="D207" s="113" t="s">
        <v>78</v>
      </c>
      <c r="E207" s="113" t="s">
        <v>212</v>
      </c>
      <c r="F207" s="113" t="s">
        <v>86</v>
      </c>
      <c r="G207" s="114">
        <f>500+980+190+150+50+200+300-265</f>
        <v>2105</v>
      </c>
      <c r="H207" s="114">
        <v>2037.86906</v>
      </c>
      <c r="I207" s="128">
        <f t="shared" si="12"/>
        <v>96.810881710213778</v>
      </c>
    </row>
    <row r="208" spans="1:9" s="175" customFormat="1" x14ac:dyDescent="0.2">
      <c r="A208" s="112" t="s">
        <v>87</v>
      </c>
      <c r="B208" s="113" t="s">
        <v>390</v>
      </c>
      <c r="C208" s="113" t="s">
        <v>76</v>
      </c>
      <c r="D208" s="113" t="s">
        <v>78</v>
      </c>
      <c r="E208" s="113" t="s">
        <v>212</v>
      </c>
      <c r="F208" s="113" t="s">
        <v>88</v>
      </c>
      <c r="G208" s="114">
        <f>G209</f>
        <v>6</v>
      </c>
      <c r="H208" s="114">
        <f>H209</f>
        <v>5.6912399999999996</v>
      </c>
      <c r="I208" s="128">
        <f t="shared" si="12"/>
        <v>94.853999999999999</v>
      </c>
    </row>
    <row r="209" spans="1:9" s="175" customFormat="1" x14ac:dyDescent="0.2">
      <c r="A209" s="112" t="s">
        <v>500</v>
      </c>
      <c r="B209" s="113" t="s">
        <v>390</v>
      </c>
      <c r="C209" s="113" t="s">
        <v>76</v>
      </c>
      <c r="D209" s="113" t="s">
        <v>78</v>
      </c>
      <c r="E209" s="113" t="s">
        <v>212</v>
      </c>
      <c r="F209" s="113" t="s">
        <v>89</v>
      </c>
      <c r="G209" s="114">
        <f>40-8.323-25.677</f>
        <v>6</v>
      </c>
      <c r="H209" s="114">
        <v>5.6912399999999996</v>
      </c>
      <c r="I209" s="128">
        <f t="shared" si="12"/>
        <v>94.853999999999999</v>
      </c>
    </row>
    <row r="210" spans="1:9" s="175" customFormat="1" ht="24" x14ac:dyDescent="0.2">
      <c r="A210" s="117" t="s">
        <v>768</v>
      </c>
      <c r="B210" s="118" t="s">
        <v>390</v>
      </c>
      <c r="C210" s="118" t="s">
        <v>76</v>
      </c>
      <c r="D210" s="118" t="s">
        <v>78</v>
      </c>
      <c r="E210" s="118" t="s">
        <v>769</v>
      </c>
      <c r="F210" s="118"/>
      <c r="G210" s="119">
        <f>G211</f>
        <v>257.36720000000003</v>
      </c>
      <c r="H210" s="119">
        <f>H211</f>
        <v>244.31720000000001</v>
      </c>
      <c r="I210" s="119">
        <f t="shared" si="12"/>
        <v>94.929423796039273</v>
      </c>
    </row>
    <row r="211" spans="1:9" s="175" customFormat="1" ht="36" x14ac:dyDescent="0.2">
      <c r="A211" s="112" t="s">
        <v>79</v>
      </c>
      <c r="B211" s="113" t="s">
        <v>390</v>
      </c>
      <c r="C211" s="113" t="s">
        <v>76</v>
      </c>
      <c r="D211" s="113" t="s">
        <v>78</v>
      </c>
      <c r="E211" s="113" t="s">
        <v>769</v>
      </c>
      <c r="F211" s="113" t="s">
        <v>80</v>
      </c>
      <c r="G211" s="114">
        <f>G212</f>
        <v>257.36720000000003</v>
      </c>
      <c r="H211" s="114">
        <f>H212</f>
        <v>244.31720000000001</v>
      </c>
      <c r="I211" s="114">
        <f t="shared" si="12"/>
        <v>94.929423796039273</v>
      </c>
    </row>
    <row r="212" spans="1:9" s="175" customFormat="1" x14ac:dyDescent="0.2">
      <c r="A212" s="112" t="s">
        <v>81</v>
      </c>
      <c r="B212" s="113" t="s">
        <v>390</v>
      </c>
      <c r="C212" s="113" t="s">
        <v>76</v>
      </c>
      <c r="D212" s="113" t="s">
        <v>78</v>
      </c>
      <c r="E212" s="113" t="s">
        <v>769</v>
      </c>
      <c r="F212" s="113" t="s">
        <v>82</v>
      </c>
      <c r="G212" s="114">
        <v>257.36720000000003</v>
      </c>
      <c r="H212" s="114">
        <v>244.31720000000001</v>
      </c>
      <c r="I212" s="114">
        <f t="shared" si="12"/>
        <v>94.929423796039273</v>
      </c>
    </row>
    <row r="213" spans="1:9" s="175" customFormat="1" x14ac:dyDescent="0.2">
      <c r="A213" s="103" t="s">
        <v>438</v>
      </c>
      <c r="B213" s="104" t="s">
        <v>390</v>
      </c>
      <c r="C213" s="104" t="s">
        <v>76</v>
      </c>
      <c r="D213" s="104" t="s">
        <v>416</v>
      </c>
      <c r="E213" s="104"/>
      <c r="F213" s="104"/>
      <c r="G213" s="127">
        <f t="shared" ref="G213:H217" si="13">G214</f>
        <v>94.75</v>
      </c>
      <c r="H213" s="127">
        <f t="shared" si="13"/>
        <v>0</v>
      </c>
      <c r="I213" s="127">
        <f t="shared" si="12"/>
        <v>0</v>
      </c>
    </row>
    <row r="214" spans="1:9" s="175" customFormat="1" x14ac:dyDescent="0.2">
      <c r="A214" s="138" t="s">
        <v>74</v>
      </c>
      <c r="B214" s="118" t="s">
        <v>390</v>
      </c>
      <c r="C214" s="118" t="s">
        <v>76</v>
      </c>
      <c r="D214" s="118" t="s">
        <v>416</v>
      </c>
      <c r="E214" s="118" t="s">
        <v>209</v>
      </c>
      <c r="F214" s="132"/>
      <c r="G214" s="129">
        <f t="shared" si="13"/>
        <v>94.75</v>
      </c>
      <c r="H214" s="129">
        <f t="shared" si="13"/>
        <v>0</v>
      </c>
      <c r="I214" s="129">
        <f t="shared" si="12"/>
        <v>0</v>
      </c>
    </row>
    <row r="215" spans="1:9" s="175" customFormat="1" x14ac:dyDescent="0.2">
      <c r="A215" s="120" t="s">
        <v>297</v>
      </c>
      <c r="B215" s="104" t="s">
        <v>390</v>
      </c>
      <c r="C215" s="104" t="s">
        <v>76</v>
      </c>
      <c r="D215" s="104" t="s">
        <v>416</v>
      </c>
      <c r="E215" s="104" t="s">
        <v>210</v>
      </c>
      <c r="F215" s="113"/>
      <c r="G215" s="127">
        <f t="shared" si="13"/>
        <v>94.75</v>
      </c>
      <c r="H215" s="127">
        <f t="shared" si="13"/>
        <v>0</v>
      </c>
      <c r="I215" s="127">
        <f t="shared" si="12"/>
        <v>0</v>
      </c>
    </row>
    <row r="216" spans="1:9" s="175" customFormat="1" ht="24" x14ac:dyDescent="0.2">
      <c r="A216" s="103" t="s">
        <v>441</v>
      </c>
      <c r="B216" s="104" t="s">
        <v>390</v>
      </c>
      <c r="C216" s="104" t="s">
        <v>76</v>
      </c>
      <c r="D216" s="104" t="s">
        <v>416</v>
      </c>
      <c r="E216" s="104" t="s">
        <v>344</v>
      </c>
      <c r="F216" s="104"/>
      <c r="G216" s="127">
        <f t="shared" si="13"/>
        <v>94.75</v>
      </c>
      <c r="H216" s="127">
        <f t="shared" si="13"/>
        <v>0</v>
      </c>
      <c r="I216" s="127">
        <f t="shared" si="12"/>
        <v>0</v>
      </c>
    </row>
    <row r="217" spans="1:9" s="175" customFormat="1" x14ac:dyDescent="0.2">
      <c r="A217" s="112" t="s">
        <v>294</v>
      </c>
      <c r="B217" s="113" t="s">
        <v>390</v>
      </c>
      <c r="C217" s="113" t="s">
        <v>76</v>
      </c>
      <c r="D217" s="113" t="s">
        <v>416</v>
      </c>
      <c r="E217" s="113" t="s">
        <v>344</v>
      </c>
      <c r="F217" s="113" t="s">
        <v>84</v>
      </c>
      <c r="G217" s="128">
        <f t="shared" si="13"/>
        <v>94.75</v>
      </c>
      <c r="H217" s="128">
        <f t="shared" si="13"/>
        <v>0</v>
      </c>
      <c r="I217" s="128">
        <f t="shared" si="12"/>
        <v>0</v>
      </c>
    </row>
    <row r="218" spans="1:9" s="175" customFormat="1" x14ac:dyDescent="0.2">
      <c r="A218" s="112" t="s">
        <v>85</v>
      </c>
      <c r="B218" s="113" t="s">
        <v>390</v>
      </c>
      <c r="C218" s="113" t="s">
        <v>76</v>
      </c>
      <c r="D218" s="113" t="s">
        <v>416</v>
      </c>
      <c r="E218" s="113" t="s">
        <v>344</v>
      </c>
      <c r="F218" s="113" t="s">
        <v>86</v>
      </c>
      <c r="G218" s="128">
        <v>94.75</v>
      </c>
      <c r="H218" s="128">
        <v>0</v>
      </c>
      <c r="I218" s="128">
        <f t="shared" si="12"/>
        <v>0</v>
      </c>
    </row>
    <row r="219" spans="1:9" s="175" customFormat="1" x14ac:dyDescent="0.2">
      <c r="A219" s="146" t="s">
        <v>311</v>
      </c>
      <c r="B219" s="104" t="s">
        <v>390</v>
      </c>
      <c r="C219" s="104" t="s">
        <v>76</v>
      </c>
      <c r="D219" s="104" t="s">
        <v>93</v>
      </c>
      <c r="E219" s="104"/>
      <c r="F219" s="104"/>
      <c r="G219" s="105">
        <f>G220+G225</f>
        <v>166.523</v>
      </c>
      <c r="H219" s="105">
        <f>H220+H225</f>
        <v>166.523</v>
      </c>
      <c r="I219" s="127">
        <f t="shared" si="12"/>
        <v>100</v>
      </c>
    </row>
    <row r="220" spans="1:9" s="175" customFormat="1" ht="27" x14ac:dyDescent="0.2">
      <c r="A220" s="151" t="s">
        <v>565</v>
      </c>
      <c r="B220" s="107">
        <v>599</v>
      </c>
      <c r="C220" s="107" t="s">
        <v>76</v>
      </c>
      <c r="D220" s="107" t="s">
        <v>93</v>
      </c>
      <c r="E220" s="107" t="s">
        <v>103</v>
      </c>
      <c r="F220" s="107"/>
      <c r="G220" s="108">
        <f t="shared" ref="G220:H223" si="14">G221</f>
        <v>158.19999999999999</v>
      </c>
      <c r="H220" s="108">
        <f t="shared" si="14"/>
        <v>158.19999999999999</v>
      </c>
      <c r="I220" s="155">
        <f t="shared" si="12"/>
        <v>100</v>
      </c>
    </row>
    <row r="221" spans="1:9" s="175" customFormat="1" x14ac:dyDescent="0.2">
      <c r="A221" s="146" t="s">
        <v>487</v>
      </c>
      <c r="B221" s="104" t="s">
        <v>390</v>
      </c>
      <c r="C221" s="104" t="s">
        <v>76</v>
      </c>
      <c r="D221" s="104" t="s">
        <v>93</v>
      </c>
      <c r="E221" s="104" t="s">
        <v>489</v>
      </c>
      <c r="F221" s="104"/>
      <c r="G221" s="105">
        <f t="shared" si="14"/>
        <v>158.19999999999999</v>
      </c>
      <c r="H221" s="105">
        <f t="shared" si="14"/>
        <v>158.19999999999999</v>
      </c>
      <c r="I221" s="127">
        <f t="shared" si="12"/>
        <v>100</v>
      </c>
    </row>
    <row r="222" spans="1:9" s="175" customFormat="1" x14ac:dyDescent="0.2">
      <c r="A222" s="133" t="s">
        <v>488</v>
      </c>
      <c r="B222" s="118" t="s">
        <v>390</v>
      </c>
      <c r="C222" s="118" t="s">
        <v>76</v>
      </c>
      <c r="D222" s="118" t="s">
        <v>93</v>
      </c>
      <c r="E222" s="118" t="s">
        <v>566</v>
      </c>
      <c r="F222" s="118"/>
      <c r="G222" s="119">
        <f t="shared" si="14"/>
        <v>158.19999999999999</v>
      </c>
      <c r="H222" s="119">
        <f t="shared" si="14"/>
        <v>158.19999999999999</v>
      </c>
      <c r="I222" s="129">
        <f t="shared" si="12"/>
        <v>100</v>
      </c>
    </row>
    <row r="223" spans="1:9" s="175" customFormat="1" ht="36" x14ac:dyDescent="0.2">
      <c r="A223" s="112" t="s">
        <v>79</v>
      </c>
      <c r="B223" s="113" t="s">
        <v>390</v>
      </c>
      <c r="C223" s="113" t="s">
        <v>76</v>
      </c>
      <c r="D223" s="113" t="s">
        <v>93</v>
      </c>
      <c r="E223" s="113" t="s">
        <v>566</v>
      </c>
      <c r="F223" s="113" t="s">
        <v>80</v>
      </c>
      <c r="G223" s="114">
        <f t="shared" si="14"/>
        <v>158.19999999999999</v>
      </c>
      <c r="H223" s="114">
        <f t="shared" si="14"/>
        <v>158.19999999999999</v>
      </c>
      <c r="I223" s="128">
        <f t="shared" si="12"/>
        <v>100</v>
      </c>
    </row>
    <row r="224" spans="1:9" s="175" customFormat="1" x14ac:dyDescent="0.2">
      <c r="A224" s="112" t="s">
        <v>81</v>
      </c>
      <c r="B224" s="113" t="s">
        <v>390</v>
      </c>
      <c r="C224" s="113" t="s">
        <v>76</v>
      </c>
      <c r="D224" s="113" t="s">
        <v>93</v>
      </c>
      <c r="E224" s="113" t="s">
        <v>566</v>
      </c>
      <c r="F224" s="113" t="s">
        <v>82</v>
      </c>
      <c r="G224" s="114">
        <f>400-241.8</f>
        <v>158.19999999999999</v>
      </c>
      <c r="H224" s="114">
        <v>158.19999999999999</v>
      </c>
      <c r="I224" s="128">
        <f t="shared" si="12"/>
        <v>100</v>
      </c>
    </row>
    <row r="225" spans="1:9" s="175" customFormat="1" x14ac:dyDescent="0.2">
      <c r="A225" s="138" t="s">
        <v>74</v>
      </c>
      <c r="B225" s="118">
        <v>599</v>
      </c>
      <c r="C225" s="118" t="s">
        <v>76</v>
      </c>
      <c r="D225" s="118" t="s">
        <v>93</v>
      </c>
      <c r="E225" s="118" t="s">
        <v>209</v>
      </c>
      <c r="F225" s="118"/>
      <c r="G225" s="119">
        <v>8.3230000000000004</v>
      </c>
      <c r="H225" s="119">
        <v>8.3230000000000004</v>
      </c>
      <c r="I225" s="129">
        <f t="shared" si="12"/>
        <v>100</v>
      </c>
    </row>
    <row r="226" spans="1:9" s="175" customFormat="1" x14ac:dyDescent="0.2">
      <c r="A226" s="120" t="s">
        <v>297</v>
      </c>
      <c r="B226" s="104" t="s">
        <v>390</v>
      </c>
      <c r="C226" s="104" t="s">
        <v>76</v>
      </c>
      <c r="D226" s="104" t="s">
        <v>93</v>
      </c>
      <c r="E226" s="104" t="s">
        <v>210</v>
      </c>
      <c r="F226" s="104"/>
      <c r="G226" s="105">
        <v>8.3230000000000004</v>
      </c>
      <c r="H226" s="105">
        <v>8.3230000000000004</v>
      </c>
      <c r="I226" s="127">
        <f t="shared" si="12"/>
        <v>100</v>
      </c>
    </row>
    <row r="227" spans="1:9" s="175" customFormat="1" x14ac:dyDescent="0.2">
      <c r="A227" s="103" t="s">
        <v>312</v>
      </c>
      <c r="B227" s="104" t="s">
        <v>390</v>
      </c>
      <c r="C227" s="104" t="s">
        <v>76</v>
      </c>
      <c r="D227" s="104" t="s">
        <v>93</v>
      </c>
      <c r="E227" s="135" t="s">
        <v>337</v>
      </c>
      <c r="F227" s="104"/>
      <c r="G227" s="127">
        <v>8.3230000000000004</v>
      </c>
      <c r="H227" s="127">
        <v>8.3230000000000004</v>
      </c>
      <c r="I227" s="127">
        <f t="shared" si="12"/>
        <v>100</v>
      </c>
    </row>
    <row r="228" spans="1:9" s="175" customFormat="1" x14ac:dyDescent="0.2">
      <c r="A228" s="112" t="s">
        <v>87</v>
      </c>
      <c r="B228" s="113" t="s">
        <v>390</v>
      </c>
      <c r="C228" s="113" t="s">
        <v>76</v>
      </c>
      <c r="D228" s="113" t="s">
        <v>93</v>
      </c>
      <c r="E228" s="123" t="s">
        <v>337</v>
      </c>
      <c r="F228" s="113" t="s">
        <v>88</v>
      </c>
      <c r="G228" s="128">
        <v>8.3230000000000004</v>
      </c>
      <c r="H228" s="128">
        <v>8.3230000000000004</v>
      </c>
      <c r="I228" s="128">
        <f t="shared" si="12"/>
        <v>100</v>
      </c>
    </row>
    <row r="229" spans="1:9" s="175" customFormat="1" x14ac:dyDescent="0.2">
      <c r="A229" s="112" t="s">
        <v>149</v>
      </c>
      <c r="B229" s="113" t="s">
        <v>390</v>
      </c>
      <c r="C229" s="113" t="s">
        <v>76</v>
      </c>
      <c r="D229" s="113" t="s">
        <v>93</v>
      </c>
      <c r="E229" s="123" t="s">
        <v>337</v>
      </c>
      <c r="F229" s="113" t="s">
        <v>153</v>
      </c>
      <c r="G229" s="128">
        <v>8.3230000000000004</v>
      </c>
      <c r="H229" s="128">
        <v>8.3230000000000004</v>
      </c>
      <c r="I229" s="128">
        <f t="shared" si="12"/>
        <v>100</v>
      </c>
    </row>
    <row r="230" spans="1:9" s="175" customFormat="1" x14ac:dyDescent="0.2">
      <c r="A230" s="103" t="s">
        <v>358</v>
      </c>
      <c r="B230" s="104" t="s">
        <v>390</v>
      </c>
      <c r="C230" s="104" t="s">
        <v>416</v>
      </c>
      <c r="D230" s="104" t="s">
        <v>77</v>
      </c>
      <c r="E230" s="113"/>
      <c r="F230" s="113"/>
      <c r="G230" s="105">
        <f t="shared" ref="G230:H235" si="15">G231</f>
        <v>1404.7849999999999</v>
      </c>
      <c r="H230" s="105">
        <f t="shared" si="15"/>
        <v>1382.4480000000001</v>
      </c>
      <c r="I230" s="127">
        <f t="shared" si="12"/>
        <v>98.40993461632921</v>
      </c>
    </row>
    <row r="231" spans="1:9" s="175" customFormat="1" x14ac:dyDescent="0.2">
      <c r="A231" s="103" t="s">
        <v>362</v>
      </c>
      <c r="B231" s="104" t="s">
        <v>390</v>
      </c>
      <c r="C231" s="104" t="s">
        <v>416</v>
      </c>
      <c r="D231" s="104" t="s">
        <v>469</v>
      </c>
      <c r="E231" s="118"/>
      <c r="F231" s="118"/>
      <c r="G231" s="105">
        <f t="shared" si="15"/>
        <v>1404.7849999999999</v>
      </c>
      <c r="H231" s="105">
        <f t="shared" si="15"/>
        <v>1382.4480000000001</v>
      </c>
      <c r="I231" s="127">
        <f t="shared" si="12"/>
        <v>98.40993461632921</v>
      </c>
    </row>
    <row r="232" spans="1:9" s="175" customFormat="1" x14ac:dyDescent="0.2">
      <c r="A232" s="138" t="s">
        <v>74</v>
      </c>
      <c r="B232" s="118" t="s">
        <v>390</v>
      </c>
      <c r="C232" s="118" t="s">
        <v>416</v>
      </c>
      <c r="D232" s="118" t="s">
        <v>469</v>
      </c>
      <c r="E232" s="118" t="s">
        <v>209</v>
      </c>
      <c r="F232" s="118"/>
      <c r="G232" s="119">
        <f t="shared" si="15"/>
        <v>1404.7849999999999</v>
      </c>
      <c r="H232" s="119">
        <f t="shared" si="15"/>
        <v>1382.4480000000001</v>
      </c>
      <c r="I232" s="129">
        <f t="shared" si="12"/>
        <v>98.40993461632921</v>
      </c>
    </row>
    <row r="233" spans="1:9" s="175" customFormat="1" x14ac:dyDescent="0.2">
      <c r="A233" s="103" t="s">
        <v>297</v>
      </c>
      <c r="B233" s="104" t="s">
        <v>390</v>
      </c>
      <c r="C233" s="104" t="s">
        <v>416</v>
      </c>
      <c r="D233" s="104" t="s">
        <v>469</v>
      </c>
      <c r="E233" s="104" t="s">
        <v>210</v>
      </c>
      <c r="F233" s="104"/>
      <c r="G233" s="105">
        <f t="shared" si="15"/>
        <v>1404.7849999999999</v>
      </c>
      <c r="H233" s="105">
        <f t="shared" si="15"/>
        <v>1382.4480000000001</v>
      </c>
      <c r="I233" s="127">
        <f t="shared" si="12"/>
        <v>98.40993461632921</v>
      </c>
    </row>
    <row r="234" spans="1:9" s="175" customFormat="1" x14ac:dyDescent="0.2">
      <c r="A234" s="103" t="s">
        <v>674</v>
      </c>
      <c r="B234" s="104" t="s">
        <v>390</v>
      </c>
      <c r="C234" s="104" t="s">
        <v>416</v>
      </c>
      <c r="D234" s="104" t="s">
        <v>469</v>
      </c>
      <c r="E234" s="135" t="s">
        <v>339</v>
      </c>
      <c r="F234" s="104"/>
      <c r="G234" s="105">
        <f t="shared" si="15"/>
        <v>1404.7849999999999</v>
      </c>
      <c r="H234" s="105">
        <f t="shared" si="15"/>
        <v>1382.4480000000001</v>
      </c>
      <c r="I234" s="127">
        <f t="shared" si="12"/>
        <v>98.40993461632921</v>
      </c>
    </row>
    <row r="235" spans="1:9" s="175" customFormat="1" x14ac:dyDescent="0.2">
      <c r="A235" s="112" t="s">
        <v>582</v>
      </c>
      <c r="B235" s="113" t="s">
        <v>390</v>
      </c>
      <c r="C235" s="113" t="s">
        <v>416</v>
      </c>
      <c r="D235" s="113" t="s">
        <v>469</v>
      </c>
      <c r="E235" s="123" t="s">
        <v>339</v>
      </c>
      <c r="F235" s="113" t="s">
        <v>84</v>
      </c>
      <c r="G235" s="114">
        <f t="shared" si="15"/>
        <v>1404.7849999999999</v>
      </c>
      <c r="H235" s="114">
        <f t="shared" si="15"/>
        <v>1382.4480000000001</v>
      </c>
      <c r="I235" s="128">
        <f t="shared" si="12"/>
        <v>98.40993461632921</v>
      </c>
    </row>
    <row r="236" spans="1:9" s="175" customFormat="1" x14ac:dyDescent="0.2">
      <c r="A236" s="112" t="s">
        <v>85</v>
      </c>
      <c r="B236" s="113" t="s">
        <v>390</v>
      </c>
      <c r="C236" s="113" t="s">
        <v>416</v>
      </c>
      <c r="D236" s="113" t="s">
        <v>469</v>
      </c>
      <c r="E236" s="123" t="s">
        <v>339</v>
      </c>
      <c r="F236" s="113" t="s">
        <v>86</v>
      </c>
      <c r="G236" s="114">
        <f>2500-300-795.215</f>
        <v>1404.7849999999999</v>
      </c>
      <c r="H236" s="114">
        <v>1382.4480000000001</v>
      </c>
      <c r="I236" s="128">
        <f t="shared" si="12"/>
        <v>98.40993461632921</v>
      </c>
    </row>
    <row r="237" spans="1:9" s="175" customFormat="1" ht="31.5" x14ac:dyDescent="0.2">
      <c r="A237" s="106" t="s">
        <v>759</v>
      </c>
      <c r="B237" s="109" t="s">
        <v>391</v>
      </c>
      <c r="C237" s="110"/>
      <c r="D237" s="110"/>
      <c r="E237" s="104"/>
      <c r="F237" s="104"/>
      <c r="G237" s="111">
        <f>G238+G265+G272</f>
        <v>19609.749379999997</v>
      </c>
      <c r="H237" s="111">
        <f>H238+H265+H272</f>
        <v>18470.469379999999</v>
      </c>
      <c r="I237" s="198">
        <f t="shared" si="12"/>
        <v>94.190236815764962</v>
      </c>
    </row>
    <row r="238" spans="1:9" s="175" customFormat="1" x14ac:dyDescent="0.2">
      <c r="A238" s="103" t="s">
        <v>114</v>
      </c>
      <c r="B238" s="104" t="s">
        <v>391</v>
      </c>
      <c r="C238" s="104" t="s">
        <v>76</v>
      </c>
      <c r="D238" s="104" t="s">
        <v>77</v>
      </c>
      <c r="E238" s="104"/>
      <c r="F238" s="104"/>
      <c r="G238" s="105">
        <f>G239+G253+G259</f>
        <v>17486.982789999998</v>
      </c>
      <c r="H238" s="105">
        <f>H239+H253+H259</f>
        <v>16803.574349999999</v>
      </c>
      <c r="I238" s="127">
        <f t="shared" si="12"/>
        <v>96.091901912371014</v>
      </c>
    </row>
    <row r="239" spans="1:9" s="175" customFormat="1" ht="36" x14ac:dyDescent="0.2">
      <c r="A239" s="103" t="s">
        <v>305</v>
      </c>
      <c r="B239" s="104" t="s">
        <v>391</v>
      </c>
      <c r="C239" s="104" t="s">
        <v>76</v>
      </c>
      <c r="D239" s="104" t="s">
        <v>78</v>
      </c>
      <c r="E239" s="104"/>
      <c r="F239" s="104"/>
      <c r="G239" s="105">
        <f>G240</f>
        <v>17192.232789999998</v>
      </c>
      <c r="H239" s="105">
        <f>H240</f>
        <v>16641.074349999999</v>
      </c>
      <c r="I239" s="127">
        <f t="shared" si="12"/>
        <v>96.794142757765684</v>
      </c>
    </row>
    <row r="240" spans="1:9" s="175" customFormat="1" x14ac:dyDescent="0.2">
      <c r="A240" s="138" t="s">
        <v>74</v>
      </c>
      <c r="B240" s="118" t="s">
        <v>391</v>
      </c>
      <c r="C240" s="118" t="s">
        <v>76</v>
      </c>
      <c r="D240" s="118" t="s">
        <v>78</v>
      </c>
      <c r="E240" s="118" t="s">
        <v>209</v>
      </c>
      <c r="F240" s="118"/>
      <c r="G240" s="119">
        <f>G241</f>
        <v>17192.232789999998</v>
      </c>
      <c r="H240" s="119">
        <f>H241</f>
        <v>16641.074349999999</v>
      </c>
      <c r="I240" s="129">
        <f t="shared" si="12"/>
        <v>96.794142757765684</v>
      </c>
    </row>
    <row r="241" spans="1:9" s="175" customFormat="1" x14ac:dyDescent="0.2">
      <c r="A241" s="120" t="s">
        <v>297</v>
      </c>
      <c r="B241" s="104" t="s">
        <v>391</v>
      </c>
      <c r="C241" s="104" t="s">
        <v>76</v>
      </c>
      <c r="D241" s="104" t="s">
        <v>78</v>
      </c>
      <c r="E241" s="104" t="s">
        <v>210</v>
      </c>
      <c r="F241" s="104"/>
      <c r="G241" s="105">
        <f>G242+G245+G250</f>
        <v>17192.232789999998</v>
      </c>
      <c r="H241" s="105">
        <f>H242+H245+H250</f>
        <v>16641.074349999999</v>
      </c>
      <c r="I241" s="127">
        <f t="shared" si="12"/>
        <v>96.794142757765684</v>
      </c>
    </row>
    <row r="242" spans="1:9" s="175" customFormat="1" x14ac:dyDescent="0.2">
      <c r="A242" s="120" t="s">
        <v>296</v>
      </c>
      <c r="B242" s="104" t="s">
        <v>391</v>
      </c>
      <c r="C242" s="104" t="s">
        <v>76</v>
      </c>
      <c r="D242" s="104" t="s">
        <v>78</v>
      </c>
      <c r="E242" s="104" t="s">
        <v>211</v>
      </c>
      <c r="F242" s="104"/>
      <c r="G242" s="105">
        <f>G243</f>
        <v>14450</v>
      </c>
      <c r="H242" s="105">
        <f>H243</f>
        <v>14280.31444</v>
      </c>
      <c r="I242" s="127">
        <f t="shared" si="12"/>
        <v>98.825705467128032</v>
      </c>
    </row>
    <row r="243" spans="1:9" s="175" customFormat="1" ht="36" x14ac:dyDescent="0.2">
      <c r="A243" s="112" t="s">
        <v>79</v>
      </c>
      <c r="B243" s="113" t="s">
        <v>391</v>
      </c>
      <c r="C243" s="113" t="s">
        <v>76</v>
      </c>
      <c r="D243" s="113" t="s">
        <v>78</v>
      </c>
      <c r="E243" s="113" t="s">
        <v>211</v>
      </c>
      <c r="F243" s="113" t="s">
        <v>80</v>
      </c>
      <c r="G243" s="114">
        <f>G244</f>
        <v>14450</v>
      </c>
      <c r="H243" s="114">
        <f>H244</f>
        <v>14280.31444</v>
      </c>
      <c r="I243" s="128">
        <f t="shared" si="12"/>
        <v>98.825705467128032</v>
      </c>
    </row>
    <row r="244" spans="1:9" s="175" customFormat="1" x14ac:dyDescent="0.2">
      <c r="A244" s="112" t="s">
        <v>81</v>
      </c>
      <c r="B244" s="113" t="s">
        <v>391</v>
      </c>
      <c r="C244" s="113" t="s">
        <v>76</v>
      </c>
      <c r="D244" s="113" t="s">
        <v>78</v>
      </c>
      <c r="E244" s="113" t="s">
        <v>211</v>
      </c>
      <c r="F244" s="113" t="s">
        <v>82</v>
      </c>
      <c r="G244" s="114">
        <f>11050+70+3330</f>
        <v>14450</v>
      </c>
      <c r="H244" s="114">
        <v>14280.31444</v>
      </c>
      <c r="I244" s="128">
        <f t="shared" si="12"/>
        <v>98.825705467128032</v>
      </c>
    </row>
    <row r="245" spans="1:9" s="175" customFormat="1" x14ac:dyDescent="0.2">
      <c r="A245" s="103" t="s">
        <v>83</v>
      </c>
      <c r="B245" s="104" t="s">
        <v>391</v>
      </c>
      <c r="C245" s="104" t="s">
        <v>76</v>
      </c>
      <c r="D245" s="104" t="s">
        <v>78</v>
      </c>
      <c r="E245" s="104" t="s">
        <v>212</v>
      </c>
      <c r="F245" s="104"/>
      <c r="G245" s="105">
        <f>G246+G248</f>
        <v>2510</v>
      </c>
      <c r="H245" s="105">
        <f>H246+H248</f>
        <v>2128.5271199999997</v>
      </c>
      <c r="I245" s="127">
        <f t="shared" si="12"/>
        <v>84.801877290836643</v>
      </c>
    </row>
    <row r="246" spans="1:9" s="175" customFormat="1" x14ac:dyDescent="0.2">
      <c r="A246" s="112" t="s">
        <v>582</v>
      </c>
      <c r="B246" s="113" t="s">
        <v>391</v>
      </c>
      <c r="C246" s="113" t="s">
        <v>76</v>
      </c>
      <c r="D246" s="113" t="s">
        <v>78</v>
      </c>
      <c r="E246" s="113" t="s">
        <v>212</v>
      </c>
      <c r="F246" s="113" t="s">
        <v>84</v>
      </c>
      <c r="G246" s="114">
        <f>G247</f>
        <v>2360</v>
      </c>
      <c r="H246" s="114">
        <f>H247</f>
        <v>1987.52712</v>
      </c>
      <c r="I246" s="128">
        <f t="shared" si="12"/>
        <v>84.21725084745762</v>
      </c>
    </row>
    <row r="247" spans="1:9" s="175" customFormat="1" x14ac:dyDescent="0.2">
      <c r="A247" s="112" t="s">
        <v>85</v>
      </c>
      <c r="B247" s="113" t="s">
        <v>391</v>
      </c>
      <c r="C247" s="113" t="s">
        <v>76</v>
      </c>
      <c r="D247" s="113" t="s">
        <v>78</v>
      </c>
      <c r="E247" s="113" t="s">
        <v>212</v>
      </c>
      <c r="F247" s="113" t="s">
        <v>86</v>
      </c>
      <c r="G247" s="114">
        <f>500+1170+250+240+50+200-50</f>
        <v>2360</v>
      </c>
      <c r="H247" s="114">
        <v>1987.52712</v>
      </c>
      <c r="I247" s="128">
        <f t="shared" si="12"/>
        <v>84.21725084745762</v>
      </c>
    </row>
    <row r="248" spans="1:9" s="175" customFormat="1" x14ac:dyDescent="0.2">
      <c r="A248" s="112" t="s">
        <v>87</v>
      </c>
      <c r="B248" s="113" t="s">
        <v>391</v>
      </c>
      <c r="C248" s="113" t="s">
        <v>76</v>
      </c>
      <c r="D248" s="113" t="s">
        <v>78</v>
      </c>
      <c r="E248" s="113" t="s">
        <v>212</v>
      </c>
      <c r="F248" s="113" t="s">
        <v>88</v>
      </c>
      <c r="G248" s="114">
        <f>G249</f>
        <v>150</v>
      </c>
      <c r="H248" s="114">
        <f>H249</f>
        <v>141</v>
      </c>
      <c r="I248" s="128">
        <f t="shared" si="12"/>
        <v>94</v>
      </c>
    </row>
    <row r="249" spans="1:9" s="175" customFormat="1" x14ac:dyDescent="0.2">
      <c r="A249" s="112" t="s">
        <v>500</v>
      </c>
      <c r="B249" s="113" t="s">
        <v>391</v>
      </c>
      <c r="C249" s="113" t="s">
        <v>76</v>
      </c>
      <c r="D249" s="113" t="s">
        <v>78</v>
      </c>
      <c r="E249" s="113" t="s">
        <v>212</v>
      </c>
      <c r="F249" s="113" t="s">
        <v>89</v>
      </c>
      <c r="G249" s="114">
        <v>150</v>
      </c>
      <c r="H249" s="114">
        <v>141</v>
      </c>
      <c r="I249" s="128">
        <f t="shared" si="12"/>
        <v>94</v>
      </c>
    </row>
    <row r="250" spans="1:9" s="175" customFormat="1" ht="24" x14ac:dyDescent="0.2">
      <c r="A250" s="117" t="s">
        <v>768</v>
      </c>
      <c r="B250" s="118" t="s">
        <v>391</v>
      </c>
      <c r="C250" s="118" t="s">
        <v>76</v>
      </c>
      <c r="D250" s="118" t="s">
        <v>78</v>
      </c>
      <c r="E250" s="118" t="s">
        <v>769</v>
      </c>
      <c r="F250" s="118"/>
      <c r="G250" s="119">
        <f>G251</f>
        <v>232.23278999999999</v>
      </c>
      <c r="H250" s="119">
        <f>H251</f>
        <v>232.23278999999999</v>
      </c>
      <c r="I250" s="119">
        <f t="shared" si="12"/>
        <v>100</v>
      </c>
    </row>
    <row r="251" spans="1:9" s="175" customFormat="1" ht="36" x14ac:dyDescent="0.2">
      <c r="A251" s="112" t="s">
        <v>79</v>
      </c>
      <c r="B251" s="113" t="s">
        <v>391</v>
      </c>
      <c r="C251" s="113" t="s">
        <v>76</v>
      </c>
      <c r="D251" s="113" t="s">
        <v>78</v>
      </c>
      <c r="E251" s="113" t="s">
        <v>769</v>
      </c>
      <c r="F251" s="113" t="s">
        <v>80</v>
      </c>
      <c r="G251" s="114">
        <f>G252</f>
        <v>232.23278999999999</v>
      </c>
      <c r="H251" s="114">
        <f>H252</f>
        <v>232.23278999999999</v>
      </c>
      <c r="I251" s="114">
        <f t="shared" si="12"/>
        <v>100</v>
      </c>
    </row>
    <row r="252" spans="1:9" s="175" customFormat="1" x14ac:dyDescent="0.2">
      <c r="A252" s="112" t="s">
        <v>81</v>
      </c>
      <c r="B252" s="113" t="s">
        <v>391</v>
      </c>
      <c r="C252" s="113" t="s">
        <v>76</v>
      </c>
      <c r="D252" s="113" t="s">
        <v>78</v>
      </c>
      <c r="E252" s="113" t="s">
        <v>769</v>
      </c>
      <c r="F252" s="113" t="s">
        <v>82</v>
      </c>
      <c r="G252" s="114">
        <v>232.23278999999999</v>
      </c>
      <c r="H252" s="114">
        <v>232.23278999999999</v>
      </c>
      <c r="I252" s="114">
        <f t="shared" si="12"/>
        <v>100</v>
      </c>
    </row>
    <row r="253" spans="1:9" s="175" customFormat="1" x14ac:dyDescent="0.2">
      <c r="A253" s="103" t="s">
        <v>438</v>
      </c>
      <c r="B253" s="104" t="s">
        <v>391</v>
      </c>
      <c r="C253" s="104" t="s">
        <v>76</v>
      </c>
      <c r="D253" s="104" t="s">
        <v>416</v>
      </c>
      <c r="E253" s="104"/>
      <c r="F253" s="104"/>
      <c r="G253" s="127">
        <f t="shared" ref="G253:H257" si="16">G254</f>
        <v>94.75</v>
      </c>
      <c r="H253" s="127">
        <f t="shared" si="16"/>
        <v>0</v>
      </c>
      <c r="I253" s="127">
        <f t="shared" si="12"/>
        <v>0</v>
      </c>
    </row>
    <row r="254" spans="1:9" s="175" customFormat="1" x14ac:dyDescent="0.2">
      <c r="A254" s="138" t="s">
        <v>74</v>
      </c>
      <c r="B254" s="118" t="s">
        <v>391</v>
      </c>
      <c r="C254" s="118" t="s">
        <v>76</v>
      </c>
      <c r="D254" s="118" t="s">
        <v>416</v>
      </c>
      <c r="E254" s="118" t="s">
        <v>209</v>
      </c>
      <c r="F254" s="113"/>
      <c r="G254" s="129">
        <f t="shared" si="16"/>
        <v>94.75</v>
      </c>
      <c r="H254" s="129">
        <f t="shared" si="16"/>
        <v>0</v>
      </c>
      <c r="I254" s="129">
        <f t="shared" si="12"/>
        <v>0</v>
      </c>
    </row>
    <row r="255" spans="1:9" s="175" customFormat="1" x14ac:dyDescent="0.2">
      <c r="A255" s="120" t="s">
        <v>297</v>
      </c>
      <c r="B255" s="104" t="s">
        <v>391</v>
      </c>
      <c r="C255" s="104" t="s">
        <v>76</v>
      </c>
      <c r="D255" s="104" t="s">
        <v>416</v>
      </c>
      <c r="E255" s="104" t="s">
        <v>210</v>
      </c>
      <c r="F255" s="113"/>
      <c r="G255" s="127">
        <f t="shared" si="16"/>
        <v>94.75</v>
      </c>
      <c r="H255" s="127">
        <f t="shared" si="16"/>
        <v>0</v>
      </c>
      <c r="I255" s="127">
        <f t="shared" si="12"/>
        <v>0</v>
      </c>
    </row>
    <row r="256" spans="1:9" s="175" customFormat="1" ht="24" x14ac:dyDescent="0.2">
      <c r="A256" s="103" t="s">
        <v>441</v>
      </c>
      <c r="B256" s="104" t="s">
        <v>391</v>
      </c>
      <c r="C256" s="104" t="s">
        <v>76</v>
      </c>
      <c r="D256" s="104" t="s">
        <v>416</v>
      </c>
      <c r="E256" s="104" t="s">
        <v>344</v>
      </c>
      <c r="F256" s="104"/>
      <c r="G256" s="127">
        <f t="shared" si="16"/>
        <v>94.75</v>
      </c>
      <c r="H256" s="127">
        <f t="shared" si="16"/>
        <v>0</v>
      </c>
      <c r="I256" s="127">
        <f t="shared" si="12"/>
        <v>0</v>
      </c>
    </row>
    <row r="257" spans="1:9" s="175" customFormat="1" x14ac:dyDescent="0.2">
      <c r="A257" s="112" t="s">
        <v>582</v>
      </c>
      <c r="B257" s="113" t="s">
        <v>391</v>
      </c>
      <c r="C257" s="113" t="s">
        <v>76</v>
      </c>
      <c r="D257" s="113" t="s">
        <v>416</v>
      </c>
      <c r="E257" s="113" t="s">
        <v>344</v>
      </c>
      <c r="F257" s="113" t="s">
        <v>84</v>
      </c>
      <c r="G257" s="128">
        <f t="shared" si="16"/>
        <v>94.75</v>
      </c>
      <c r="H257" s="128">
        <f t="shared" si="16"/>
        <v>0</v>
      </c>
      <c r="I257" s="128">
        <f t="shared" si="12"/>
        <v>0</v>
      </c>
    </row>
    <row r="258" spans="1:9" s="175" customFormat="1" x14ac:dyDescent="0.2">
      <c r="A258" s="112" t="s">
        <v>85</v>
      </c>
      <c r="B258" s="113" t="s">
        <v>391</v>
      </c>
      <c r="C258" s="113" t="s">
        <v>76</v>
      </c>
      <c r="D258" s="113" t="s">
        <v>416</v>
      </c>
      <c r="E258" s="113" t="s">
        <v>344</v>
      </c>
      <c r="F258" s="113" t="s">
        <v>86</v>
      </c>
      <c r="G258" s="128">
        <v>94.75</v>
      </c>
      <c r="H258" s="128">
        <v>0</v>
      </c>
      <c r="I258" s="128">
        <f t="shared" si="12"/>
        <v>0</v>
      </c>
    </row>
    <row r="259" spans="1:9" s="175" customFormat="1" x14ac:dyDescent="0.2">
      <c r="A259" s="146" t="s">
        <v>311</v>
      </c>
      <c r="B259" s="104" t="s">
        <v>391</v>
      </c>
      <c r="C259" s="104" t="s">
        <v>76</v>
      </c>
      <c r="D259" s="104" t="s">
        <v>93</v>
      </c>
      <c r="E259" s="104"/>
      <c r="F259" s="104"/>
      <c r="G259" s="105">
        <f t="shared" ref="G259:H263" si="17">G260</f>
        <v>200</v>
      </c>
      <c r="H259" s="105">
        <f t="shared" si="17"/>
        <v>162.5</v>
      </c>
      <c r="I259" s="127">
        <f t="shared" si="12"/>
        <v>81.25</v>
      </c>
    </row>
    <row r="260" spans="1:9" s="175" customFormat="1" ht="27" x14ac:dyDescent="0.2">
      <c r="A260" s="151" t="s">
        <v>565</v>
      </c>
      <c r="B260" s="107" t="s">
        <v>391</v>
      </c>
      <c r="C260" s="107" t="s">
        <v>76</v>
      </c>
      <c r="D260" s="107" t="s">
        <v>93</v>
      </c>
      <c r="E260" s="107" t="s">
        <v>103</v>
      </c>
      <c r="F260" s="107"/>
      <c r="G260" s="108">
        <f t="shared" si="17"/>
        <v>200</v>
      </c>
      <c r="H260" s="108">
        <f t="shared" si="17"/>
        <v>162.5</v>
      </c>
      <c r="I260" s="155">
        <f t="shared" si="12"/>
        <v>81.25</v>
      </c>
    </row>
    <row r="261" spans="1:9" s="175" customFormat="1" x14ac:dyDescent="0.2">
      <c r="A261" s="146" t="s">
        <v>487</v>
      </c>
      <c r="B261" s="104" t="s">
        <v>391</v>
      </c>
      <c r="C261" s="104" t="s">
        <v>76</v>
      </c>
      <c r="D261" s="104" t="s">
        <v>93</v>
      </c>
      <c r="E261" s="104" t="s">
        <v>489</v>
      </c>
      <c r="F261" s="104"/>
      <c r="G261" s="105">
        <f t="shared" si="17"/>
        <v>200</v>
      </c>
      <c r="H261" s="105">
        <f t="shared" si="17"/>
        <v>162.5</v>
      </c>
      <c r="I261" s="127">
        <f t="shared" si="12"/>
        <v>81.25</v>
      </c>
    </row>
    <row r="262" spans="1:9" s="175" customFormat="1" x14ac:dyDescent="0.2">
      <c r="A262" s="133" t="s">
        <v>488</v>
      </c>
      <c r="B262" s="118" t="s">
        <v>391</v>
      </c>
      <c r="C262" s="118" t="s">
        <v>76</v>
      </c>
      <c r="D262" s="118" t="s">
        <v>93</v>
      </c>
      <c r="E262" s="118" t="s">
        <v>566</v>
      </c>
      <c r="F262" s="118"/>
      <c r="G262" s="119">
        <f t="shared" si="17"/>
        <v>200</v>
      </c>
      <c r="H262" s="119">
        <f t="shared" si="17"/>
        <v>162.5</v>
      </c>
      <c r="I262" s="129">
        <f t="shared" si="12"/>
        <v>81.25</v>
      </c>
    </row>
    <row r="263" spans="1:9" s="175" customFormat="1" ht="36" x14ac:dyDescent="0.2">
      <c r="A263" s="112" t="s">
        <v>79</v>
      </c>
      <c r="B263" s="113" t="s">
        <v>391</v>
      </c>
      <c r="C263" s="113" t="s">
        <v>76</v>
      </c>
      <c r="D263" s="113" t="s">
        <v>93</v>
      </c>
      <c r="E263" s="113" t="s">
        <v>566</v>
      </c>
      <c r="F263" s="113" t="s">
        <v>80</v>
      </c>
      <c r="G263" s="114">
        <f t="shared" si="17"/>
        <v>200</v>
      </c>
      <c r="H263" s="114">
        <f t="shared" si="17"/>
        <v>162.5</v>
      </c>
      <c r="I263" s="128">
        <f t="shared" si="12"/>
        <v>81.25</v>
      </c>
    </row>
    <row r="264" spans="1:9" s="175" customFormat="1" x14ac:dyDescent="0.2">
      <c r="A264" s="112" t="s">
        <v>81</v>
      </c>
      <c r="B264" s="113" t="s">
        <v>391</v>
      </c>
      <c r="C264" s="113" t="s">
        <v>76</v>
      </c>
      <c r="D264" s="113" t="s">
        <v>93</v>
      </c>
      <c r="E264" s="113" t="s">
        <v>566</v>
      </c>
      <c r="F264" s="113" t="s">
        <v>82</v>
      </c>
      <c r="G264" s="114">
        <f>400-200</f>
        <v>200</v>
      </c>
      <c r="H264" s="114">
        <v>162.5</v>
      </c>
      <c r="I264" s="128">
        <f t="shared" si="12"/>
        <v>81.25</v>
      </c>
    </row>
    <row r="265" spans="1:9" s="175" customFormat="1" x14ac:dyDescent="0.2">
      <c r="A265" s="103" t="s">
        <v>358</v>
      </c>
      <c r="B265" s="104" t="s">
        <v>391</v>
      </c>
      <c r="C265" s="104" t="s">
        <v>416</v>
      </c>
      <c r="D265" s="104" t="s">
        <v>77</v>
      </c>
      <c r="E265" s="113"/>
      <c r="F265" s="113"/>
      <c r="G265" s="105">
        <f t="shared" ref="G265:H270" si="18">G266</f>
        <v>2050</v>
      </c>
      <c r="H265" s="105">
        <f t="shared" si="18"/>
        <v>1595.1238000000001</v>
      </c>
      <c r="I265" s="127">
        <f t="shared" ref="I265:I330" si="19">H265/G265*100</f>
        <v>77.810917073170742</v>
      </c>
    </row>
    <row r="266" spans="1:9" s="175" customFormat="1" x14ac:dyDescent="0.2">
      <c r="A266" s="103" t="s">
        <v>362</v>
      </c>
      <c r="B266" s="104" t="s">
        <v>391</v>
      </c>
      <c r="C266" s="104" t="s">
        <v>416</v>
      </c>
      <c r="D266" s="104" t="s">
        <v>469</v>
      </c>
      <c r="E266" s="118"/>
      <c r="F266" s="118"/>
      <c r="G266" s="105">
        <f t="shared" si="18"/>
        <v>2050</v>
      </c>
      <c r="H266" s="105">
        <f t="shared" si="18"/>
        <v>1595.1238000000001</v>
      </c>
      <c r="I266" s="127">
        <f t="shared" si="19"/>
        <v>77.810917073170742</v>
      </c>
    </row>
    <row r="267" spans="1:9" s="175" customFormat="1" x14ac:dyDescent="0.2">
      <c r="A267" s="138" t="s">
        <v>74</v>
      </c>
      <c r="B267" s="118" t="s">
        <v>391</v>
      </c>
      <c r="C267" s="118" t="s">
        <v>416</v>
      </c>
      <c r="D267" s="118" t="s">
        <v>469</v>
      </c>
      <c r="E267" s="118" t="s">
        <v>209</v>
      </c>
      <c r="F267" s="118"/>
      <c r="G267" s="119">
        <f t="shared" si="18"/>
        <v>2050</v>
      </c>
      <c r="H267" s="119">
        <f t="shared" si="18"/>
        <v>1595.1238000000001</v>
      </c>
      <c r="I267" s="129">
        <f t="shared" si="19"/>
        <v>77.810917073170742</v>
      </c>
    </row>
    <row r="268" spans="1:9" s="175" customFormat="1" x14ac:dyDescent="0.2">
      <c r="A268" s="103" t="s">
        <v>297</v>
      </c>
      <c r="B268" s="104" t="s">
        <v>391</v>
      </c>
      <c r="C268" s="104" t="s">
        <v>416</v>
      </c>
      <c r="D268" s="104" t="s">
        <v>469</v>
      </c>
      <c r="E268" s="104" t="s">
        <v>210</v>
      </c>
      <c r="F268" s="104"/>
      <c r="G268" s="105">
        <f t="shared" si="18"/>
        <v>2050</v>
      </c>
      <c r="H268" s="105">
        <f t="shared" si="18"/>
        <v>1595.1238000000001</v>
      </c>
      <c r="I268" s="127">
        <f t="shared" si="19"/>
        <v>77.810917073170742</v>
      </c>
    </row>
    <row r="269" spans="1:9" s="175" customFormat="1" x14ac:dyDescent="0.2">
      <c r="A269" s="103" t="s">
        <v>674</v>
      </c>
      <c r="B269" s="104" t="s">
        <v>391</v>
      </c>
      <c r="C269" s="104" t="s">
        <v>416</v>
      </c>
      <c r="D269" s="104" t="s">
        <v>469</v>
      </c>
      <c r="E269" s="135" t="s">
        <v>339</v>
      </c>
      <c r="F269" s="104"/>
      <c r="G269" s="105">
        <f t="shared" si="18"/>
        <v>2050</v>
      </c>
      <c r="H269" s="105">
        <f t="shared" si="18"/>
        <v>1595.1238000000001</v>
      </c>
      <c r="I269" s="127">
        <f t="shared" si="19"/>
        <v>77.810917073170742</v>
      </c>
    </row>
    <row r="270" spans="1:9" s="175" customFormat="1" x14ac:dyDescent="0.2">
      <c r="A270" s="112" t="s">
        <v>582</v>
      </c>
      <c r="B270" s="113" t="s">
        <v>391</v>
      </c>
      <c r="C270" s="113" t="s">
        <v>416</v>
      </c>
      <c r="D270" s="113" t="s">
        <v>469</v>
      </c>
      <c r="E270" s="123" t="s">
        <v>339</v>
      </c>
      <c r="F270" s="113" t="s">
        <v>84</v>
      </c>
      <c r="G270" s="114">
        <f t="shared" si="18"/>
        <v>2050</v>
      </c>
      <c r="H270" s="114">
        <f t="shared" si="18"/>
        <v>1595.1238000000001</v>
      </c>
      <c r="I270" s="128">
        <f t="shared" si="19"/>
        <v>77.810917073170742</v>
      </c>
    </row>
    <row r="271" spans="1:9" s="175" customFormat="1" x14ac:dyDescent="0.2">
      <c r="A271" s="112" t="s">
        <v>85</v>
      </c>
      <c r="B271" s="113" t="s">
        <v>391</v>
      </c>
      <c r="C271" s="113" t="s">
        <v>416</v>
      </c>
      <c r="D271" s="113" t="s">
        <v>469</v>
      </c>
      <c r="E271" s="123" t="s">
        <v>339</v>
      </c>
      <c r="F271" s="113" t="s">
        <v>86</v>
      </c>
      <c r="G271" s="114">
        <f>2500-450</f>
        <v>2050</v>
      </c>
      <c r="H271" s="114">
        <v>1595.1238000000001</v>
      </c>
      <c r="I271" s="128">
        <f t="shared" si="19"/>
        <v>77.810917073170742</v>
      </c>
    </row>
    <row r="272" spans="1:9" s="175" customFormat="1" x14ac:dyDescent="0.2">
      <c r="A272" s="103" t="s">
        <v>364</v>
      </c>
      <c r="B272" s="104" t="s">
        <v>391</v>
      </c>
      <c r="C272" s="104" t="s">
        <v>476</v>
      </c>
      <c r="D272" s="104" t="s">
        <v>77</v>
      </c>
      <c r="E272" s="113"/>
      <c r="F272" s="113"/>
      <c r="G272" s="105">
        <f t="shared" ref="G272:H277" si="20">G273</f>
        <v>72.766590000000008</v>
      </c>
      <c r="H272" s="105">
        <f t="shared" si="20"/>
        <v>71.771230000000003</v>
      </c>
      <c r="I272" s="127">
        <f t="shared" si="19"/>
        <v>98.632119493300422</v>
      </c>
    </row>
    <row r="273" spans="1:9" s="175" customFormat="1" x14ac:dyDescent="0.2">
      <c r="A273" s="103" t="s">
        <v>367</v>
      </c>
      <c r="B273" s="104" t="s">
        <v>391</v>
      </c>
      <c r="C273" s="104" t="s">
        <v>476</v>
      </c>
      <c r="D273" s="104" t="s">
        <v>476</v>
      </c>
      <c r="E273" s="104"/>
      <c r="F273" s="104"/>
      <c r="G273" s="105">
        <f t="shared" si="20"/>
        <v>72.766590000000008</v>
      </c>
      <c r="H273" s="105">
        <f t="shared" si="20"/>
        <v>71.771230000000003</v>
      </c>
      <c r="I273" s="127">
        <f t="shared" si="19"/>
        <v>98.632119493300422</v>
      </c>
    </row>
    <row r="274" spans="1:9" s="175" customFormat="1" x14ac:dyDescent="0.2">
      <c r="A274" s="138" t="s">
        <v>74</v>
      </c>
      <c r="B274" s="118" t="s">
        <v>391</v>
      </c>
      <c r="C274" s="118" t="s">
        <v>476</v>
      </c>
      <c r="D274" s="118" t="s">
        <v>476</v>
      </c>
      <c r="E274" s="118" t="s">
        <v>209</v>
      </c>
      <c r="F274" s="118"/>
      <c r="G274" s="119">
        <f t="shared" si="20"/>
        <v>72.766590000000008</v>
      </c>
      <c r="H274" s="119">
        <f t="shared" si="20"/>
        <v>71.771230000000003</v>
      </c>
      <c r="I274" s="129">
        <f t="shared" si="19"/>
        <v>98.632119493300422</v>
      </c>
    </row>
    <row r="275" spans="1:9" s="175" customFormat="1" x14ac:dyDescent="0.2">
      <c r="A275" s="120" t="s">
        <v>297</v>
      </c>
      <c r="B275" s="104" t="s">
        <v>391</v>
      </c>
      <c r="C275" s="104" t="s">
        <v>476</v>
      </c>
      <c r="D275" s="104" t="s">
        <v>476</v>
      </c>
      <c r="E275" s="104" t="s">
        <v>210</v>
      </c>
      <c r="F275" s="104"/>
      <c r="G275" s="105">
        <f t="shared" si="20"/>
        <v>72.766590000000008</v>
      </c>
      <c r="H275" s="105">
        <f t="shared" si="20"/>
        <v>71.771230000000003</v>
      </c>
      <c r="I275" s="127">
        <f t="shared" si="19"/>
        <v>98.632119493300422</v>
      </c>
    </row>
    <row r="276" spans="1:9" s="175" customFormat="1" x14ac:dyDescent="0.2">
      <c r="A276" s="138" t="s">
        <v>316</v>
      </c>
      <c r="B276" s="118" t="s">
        <v>391</v>
      </c>
      <c r="C276" s="118" t="s">
        <v>476</v>
      </c>
      <c r="D276" s="118" t="s">
        <v>476</v>
      </c>
      <c r="E276" s="118" t="s">
        <v>340</v>
      </c>
      <c r="F276" s="118"/>
      <c r="G276" s="119">
        <f t="shared" si="20"/>
        <v>72.766590000000008</v>
      </c>
      <c r="H276" s="119">
        <f t="shared" si="20"/>
        <v>71.771230000000003</v>
      </c>
      <c r="I276" s="129">
        <f t="shared" si="19"/>
        <v>98.632119493300422</v>
      </c>
    </row>
    <row r="277" spans="1:9" s="175" customFormat="1" x14ac:dyDescent="0.2">
      <c r="A277" s="112" t="s">
        <v>582</v>
      </c>
      <c r="B277" s="113" t="s">
        <v>391</v>
      </c>
      <c r="C277" s="113" t="s">
        <v>476</v>
      </c>
      <c r="D277" s="113" t="s">
        <v>476</v>
      </c>
      <c r="E277" s="113" t="s">
        <v>340</v>
      </c>
      <c r="F277" s="113" t="s">
        <v>84</v>
      </c>
      <c r="G277" s="114">
        <f t="shared" si="20"/>
        <v>72.766590000000008</v>
      </c>
      <c r="H277" s="114">
        <f t="shared" si="20"/>
        <v>71.771230000000003</v>
      </c>
      <c r="I277" s="128">
        <f t="shared" si="19"/>
        <v>98.632119493300422</v>
      </c>
    </row>
    <row r="278" spans="1:9" s="175" customFormat="1" x14ac:dyDescent="0.2">
      <c r="A278" s="112" t="s">
        <v>85</v>
      </c>
      <c r="B278" s="113" t="s">
        <v>391</v>
      </c>
      <c r="C278" s="113" t="s">
        <v>476</v>
      </c>
      <c r="D278" s="113" t="s">
        <v>476</v>
      </c>
      <c r="E278" s="113" t="s">
        <v>340</v>
      </c>
      <c r="F278" s="113" t="s">
        <v>86</v>
      </c>
      <c r="G278" s="114">
        <f>375-122.23341-180</f>
        <v>72.766590000000008</v>
      </c>
      <c r="H278" s="114">
        <v>71.771230000000003</v>
      </c>
      <c r="I278" s="128">
        <f t="shared" si="19"/>
        <v>98.632119493300422</v>
      </c>
    </row>
    <row r="279" spans="1:9" s="175" customFormat="1" ht="31.5" x14ac:dyDescent="0.2">
      <c r="A279" s="106" t="s">
        <v>182</v>
      </c>
      <c r="B279" s="109" t="s">
        <v>181</v>
      </c>
      <c r="C279" s="110"/>
      <c r="D279" s="110"/>
      <c r="E279" s="109"/>
      <c r="F279" s="109"/>
      <c r="G279" s="111">
        <f>G280+G287</f>
        <v>30904.10557</v>
      </c>
      <c r="H279" s="111">
        <f>H280+H287</f>
        <v>30358.774570000001</v>
      </c>
      <c r="I279" s="198">
        <f t="shared" si="19"/>
        <v>98.23540921200653</v>
      </c>
    </row>
    <row r="280" spans="1:9" s="175" customFormat="1" x14ac:dyDescent="0.2">
      <c r="A280" s="146" t="s">
        <v>364</v>
      </c>
      <c r="B280" s="104" t="s">
        <v>181</v>
      </c>
      <c r="C280" s="104" t="s">
        <v>476</v>
      </c>
      <c r="D280" s="104" t="s">
        <v>77</v>
      </c>
      <c r="E280" s="113"/>
      <c r="F280" s="113"/>
      <c r="G280" s="147">
        <f t="shared" ref="G280:H285" si="21">G281</f>
        <v>500</v>
      </c>
      <c r="H280" s="147">
        <f t="shared" si="21"/>
        <v>500</v>
      </c>
      <c r="I280" s="127">
        <f t="shared" si="19"/>
        <v>100</v>
      </c>
    </row>
    <row r="281" spans="1:9" s="175" customFormat="1" x14ac:dyDescent="0.2">
      <c r="A281" s="103" t="s">
        <v>367</v>
      </c>
      <c r="B281" s="104" t="s">
        <v>181</v>
      </c>
      <c r="C281" s="104" t="s">
        <v>476</v>
      </c>
      <c r="D281" s="104" t="s">
        <v>476</v>
      </c>
      <c r="E281" s="113"/>
      <c r="F281" s="113"/>
      <c r="G281" s="105">
        <f t="shared" si="21"/>
        <v>500</v>
      </c>
      <c r="H281" s="105">
        <f t="shared" si="21"/>
        <v>500</v>
      </c>
      <c r="I281" s="127">
        <f t="shared" si="19"/>
        <v>100</v>
      </c>
    </row>
    <row r="282" spans="1:9" s="115" customFormat="1" ht="27" x14ac:dyDescent="0.2">
      <c r="A282" s="116" t="s">
        <v>567</v>
      </c>
      <c r="B282" s="107" t="s">
        <v>181</v>
      </c>
      <c r="C282" s="107" t="s">
        <v>476</v>
      </c>
      <c r="D282" s="107" t="s">
        <v>476</v>
      </c>
      <c r="E282" s="107" t="s">
        <v>52</v>
      </c>
      <c r="F282" s="113"/>
      <c r="G282" s="105">
        <f t="shared" si="21"/>
        <v>500</v>
      </c>
      <c r="H282" s="105">
        <f t="shared" si="21"/>
        <v>500</v>
      </c>
      <c r="I282" s="127">
        <f t="shared" si="19"/>
        <v>100</v>
      </c>
    </row>
    <row r="283" spans="1:9" s="115" customFormat="1" x14ac:dyDescent="0.2">
      <c r="A283" s="134" t="s">
        <v>55</v>
      </c>
      <c r="B283" s="104" t="s">
        <v>181</v>
      </c>
      <c r="C283" s="104" t="s">
        <v>476</v>
      </c>
      <c r="D283" s="104" t="s">
        <v>476</v>
      </c>
      <c r="E283" s="104" t="s">
        <v>56</v>
      </c>
      <c r="F283" s="104"/>
      <c r="G283" s="105">
        <f t="shared" si="21"/>
        <v>500</v>
      </c>
      <c r="H283" s="105">
        <f t="shared" si="21"/>
        <v>500</v>
      </c>
      <c r="I283" s="127">
        <f t="shared" si="19"/>
        <v>100</v>
      </c>
    </row>
    <row r="284" spans="1:9" s="115" customFormat="1" ht="24" x14ac:dyDescent="0.2">
      <c r="A284" s="117" t="s">
        <v>345</v>
      </c>
      <c r="B284" s="118" t="s">
        <v>181</v>
      </c>
      <c r="C284" s="118" t="s">
        <v>476</v>
      </c>
      <c r="D284" s="118" t="s">
        <v>476</v>
      </c>
      <c r="E284" s="118" t="s">
        <v>568</v>
      </c>
      <c r="F284" s="118"/>
      <c r="G284" s="119">
        <f t="shared" si="21"/>
        <v>500</v>
      </c>
      <c r="H284" s="119">
        <f t="shared" si="21"/>
        <v>500</v>
      </c>
      <c r="I284" s="129">
        <f t="shared" si="19"/>
        <v>100</v>
      </c>
    </row>
    <row r="285" spans="1:9" s="115" customFormat="1" x14ac:dyDescent="0.2">
      <c r="A285" s="112" t="s">
        <v>582</v>
      </c>
      <c r="B285" s="113" t="s">
        <v>181</v>
      </c>
      <c r="C285" s="113" t="s">
        <v>476</v>
      </c>
      <c r="D285" s="113" t="s">
        <v>476</v>
      </c>
      <c r="E285" s="113" t="s">
        <v>568</v>
      </c>
      <c r="F285" s="113" t="s">
        <v>84</v>
      </c>
      <c r="G285" s="114">
        <f t="shared" si="21"/>
        <v>500</v>
      </c>
      <c r="H285" s="114">
        <f t="shared" si="21"/>
        <v>500</v>
      </c>
      <c r="I285" s="128">
        <f t="shared" si="19"/>
        <v>100</v>
      </c>
    </row>
    <row r="286" spans="1:9" s="115" customFormat="1" x14ac:dyDescent="0.2">
      <c r="A286" s="112" t="s">
        <v>85</v>
      </c>
      <c r="B286" s="113" t="s">
        <v>181</v>
      </c>
      <c r="C286" s="113" t="s">
        <v>476</v>
      </c>
      <c r="D286" s="113" t="s">
        <v>476</v>
      </c>
      <c r="E286" s="113" t="s">
        <v>568</v>
      </c>
      <c r="F286" s="113" t="s">
        <v>86</v>
      </c>
      <c r="G286" s="114">
        <f>3000-2500</f>
        <v>500</v>
      </c>
      <c r="H286" s="114">
        <v>500</v>
      </c>
      <c r="I286" s="128">
        <f t="shared" si="19"/>
        <v>100</v>
      </c>
    </row>
    <row r="287" spans="1:9" s="115" customFormat="1" ht="15.75" x14ac:dyDescent="0.2">
      <c r="A287" s="103" t="s">
        <v>381</v>
      </c>
      <c r="B287" s="104" t="s">
        <v>181</v>
      </c>
      <c r="C287" s="104" t="s">
        <v>90</v>
      </c>
      <c r="D287" s="104" t="s">
        <v>77</v>
      </c>
      <c r="E287" s="109"/>
      <c r="F287" s="109"/>
      <c r="G287" s="105">
        <f>G288+G299</f>
        <v>30404.10557</v>
      </c>
      <c r="H287" s="105">
        <f>H288+H299</f>
        <v>29858.774570000001</v>
      </c>
      <c r="I287" s="127">
        <f t="shared" si="19"/>
        <v>98.206390256261699</v>
      </c>
    </row>
    <row r="288" spans="1:9" s="115" customFormat="1" ht="15.75" x14ac:dyDescent="0.2">
      <c r="A288" s="103" t="s">
        <v>63</v>
      </c>
      <c r="B288" s="104" t="s">
        <v>181</v>
      </c>
      <c r="C288" s="104" t="s">
        <v>90</v>
      </c>
      <c r="D288" s="104" t="s">
        <v>76</v>
      </c>
      <c r="E288" s="109"/>
      <c r="F288" s="109"/>
      <c r="G288" s="105">
        <f>G289</f>
        <v>26015.235000000001</v>
      </c>
      <c r="H288" s="105">
        <f>H289</f>
        <v>25619.53515</v>
      </c>
      <c r="I288" s="127">
        <f t="shared" si="19"/>
        <v>98.478968765802037</v>
      </c>
    </row>
    <row r="289" spans="1:9" s="115" customFormat="1" ht="27" x14ac:dyDescent="0.2">
      <c r="A289" s="116" t="s">
        <v>567</v>
      </c>
      <c r="B289" s="107" t="s">
        <v>181</v>
      </c>
      <c r="C289" s="107" t="s">
        <v>90</v>
      </c>
      <c r="D289" s="107" t="s">
        <v>76</v>
      </c>
      <c r="E289" s="107" t="s">
        <v>52</v>
      </c>
      <c r="F289" s="107"/>
      <c r="G289" s="108">
        <f>G290+G294</f>
        <v>26015.235000000001</v>
      </c>
      <c r="H289" s="108">
        <f>H290+H294</f>
        <v>25619.53515</v>
      </c>
      <c r="I289" s="155">
        <f t="shared" si="19"/>
        <v>98.478968765802037</v>
      </c>
    </row>
    <row r="290" spans="1:9" s="115" customFormat="1" ht="24" x14ac:dyDescent="0.2">
      <c r="A290" s="103" t="s">
        <v>569</v>
      </c>
      <c r="B290" s="104" t="s">
        <v>181</v>
      </c>
      <c r="C290" s="104" t="s">
        <v>90</v>
      </c>
      <c r="D290" s="104" t="s">
        <v>76</v>
      </c>
      <c r="E290" s="104" t="s">
        <v>66</v>
      </c>
      <c r="F290" s="109"/>
      <c r="G290" s="105">
        <f t="shared" ref="G290:H292" si="22">G291</f>
        <v>1023.9349999999999</v>
      </c>
      <c r="H290" s="105">
        <f t="shared" si="22"/>
        <v>1023.9349999999999</v>
      </c>
      <c r="I290" s="127">
        <f t="shared" si="19"/>
        <v>100</v>
      </c>
    </row>
    <row r="291" spans="1:9" s="115" customFormat="1" ht="24" x14ac:dyDescent="0.2">
      <c r="A291" s="117" t="s">
        <v>346</v>
      </c>
      <c r="B291" s="118" t="s">
        <v>181</v>
      </c>
      <c r="C291" s="118" t="s">
        <v>90</v>
      </c>
      <c r="D291" s="118" t="s">
        <v>76</v>
      </c>
      <c r="E291" s="118" t="s">
        <v>570</v>
      </c>
      <c r="F291" s="118"/>
      <c r="G291" s="119">
        <f t="shared" si="22"/>
        <v>1023.9349999999999</v>
      </c>
      <c r="H291" s="119">
        <f t="shared" si="22"/>
        <v>1023.9349999999999</v>
      </c>
      <c r="I291" s="129">
        <f t="shared" si="19"/>
        <v>100</v>
      </c>
    </row>
    <row r="292" spans="1:9" s="115" customFormat="1" x14ac:dyDescent="0.2">
      <c r="A292" s="112" t="s">
        <v>582</v>
      </c>
      <c r="B292" s="113" t="s">
        <v>181</v>
      </c>
      <c r="C292" s="113" t="s">
        <v>90</v>
      </c>
      <c r="D292" s="113" t="s">
        <v>76</v>
      </c>
      <c r="E292" s="113" t="s">
        <v>570</v>
      </c>
      <c r="F292" s="113" t="s">
        <v>84</v>
      </c>
      <c r="G292" s="114">
        <f t="shared" si="22"/>
        <v>1023.9349999999999</v>
      </c>
      <c r="H292" s="114">
        <f t="shared" si="22"/>
        <v>1023.9349999999999</v>
      </c>
      <c r="I292" s="128">
        <f t="shared" si="19"/>
        <v>100</v>
      </c>
    </row>
    <row r="293" spans="1:9" s="115" customFormat="1" x14ac:dyDescent="0.2">
      <c r="A293" s="112" t="s">
        <v>85</v>
      </c>
      <c r="B293" s="113" t="s">
        <v>181</v>
      </c>
      <c r="C293" s="113" t="s">
        <v>90</v>
      </c>
      <c r="D293" s="113" t="s">
        <v>76</v>
      </c>
      <c r="E293" s="113" t="s">
        <v>570</v>
      </c>
      <c r="F293" s="113" t="s">
        <v>86</v>
      </c>
      <c r="G293" s="114">
        <f>4000-2976.065</f>
        <v>1023.9349999999999</v>
      </c>
      <c r="H293" s="114">
        <v>1023.9349999999999</v>
      </c>
      <c r="I293" s="128">
        <f t="shared" si="19"/>
        <v>100</v>
      </c>
    </row>
    <row r="294" spans="1:9" s="115" customFormat="1" ht="24" x14ac:dyDescent="0.2">
      <c r="A294" s="134" t="s">
        <v>51</v>
      </c>
      <c r="B294" s="104" t="s">
        <v>181</v>
      </c>
      <c r="C294" s="104" t="s">
        <v>90</v>
      </c>
      <c r="D294" s="104" t="s">
        <v>76</v>
      </c>
      <c r="E294" s="104" t="s">
        <v>53</v>
      </c>
      <c r="F294" s="104"/>
      <c r="G294" s="127">
        <f t="shared" ref="G294:H297" si="23">G295</f>
        <v>24991.3</v>
      </c>
      <c r="H294" s="127">
        <f t="shared" si="23"/>
        <v>24595.600149999998</v>
      </c>
      <c r="I294" s="127">
        <f t="shared" si="19"/>
        <v>98.416649594058725</v>
      </c>
    </row>
    <row r="295" spans="1:9" s="115" customFormat="1" ht="24" x14ac:dyDescent="0.2">
      <c r="A295" s="134" t="s">
        <v>54</v>
      </c>
      <c r="B295" s="104" t="s">
        <v>181</v>
      </c>
      <c r="C295" s="104" t="s">
        <v>90</v>
      </c>
      <c r="D295" s="104" t="s">
        <v>76</v>
      </c>
      <c r="E295" s="104" t="s">
        <v>571</v>
      </c>
      <c r="F295" s="104"/>
      <c r="G295" s="127">
        <f t="shared" si="23"/>
        <v>24991.3</v>
      </c>
      <c r="H295" s="127">
        <f t="shared" si="23"/>
        <v>24595.600149999998</v>
      </c>
      <c r="I295" s="127">
        <f t="shared" si="19"/>
        <v>98.416649594058725</v>
      </c>
    </row>
    <row r="296" spans="1:9" s="115" customFormat="1" ht="24" x14ac:dyDescent="0.2">
      <c r="A296" s="152" t="s">
        <v>302</v>
      </c>
      <c r="B296" s="132" t="s">
        <v>181</v>
      </c>
      <c r="C296" s="132" t="s">
        <v>90</v>
      </c>
      <c r="D296" s="132" t="s">
        <v>76</v>
      </c>
      <c r="E296" s="132" t="s">
        <v>571</v>
      </c>
      <c r="F296" s="132"/>
      <c r="G296" s="204">
        <f t="shared" si="23"/>
        <v>24991.3</v>
      </c>
      <c r="H296" s="204">
        <f t="shared" si="23"/>
        <v>24595.600149999998</v>
      </c>
      <c r="I296" s="204">
        <f t="shared" si="19"/>
        <v>98.416649594058725</v>
      </c>
    </row>
    <row r="297" spans="1:9" s="115" customFormat="1" ht="24" x14ac:dyDescent="0.2">
      <c r="A297" s="112" t="s">
        <v>104</v>
      </c>
      <c r="B297" s="113" t="s">
        <v>181</v>
      </c>
      <c r="C297" s="113" t="s">
        <v>90</v>
      </c>
      <c r="D297" s="113" t="s">
        <v>76</v>
      </c>
      <c r="E297" s="113" t="s">
        <v>571</v>
      </c>
      <c r="F297" s="113" t="s">
        <v>391</v>
      </c>
      <c r="G297" s="128">
        <f t="shared" si="23"/>
        <v>24991.3</v>
      </c>
      <c r="H297" s="128">
        <f t="shared" si="23"/>
        <v>24595.600149999998</v>
      </c>
      <c r="I297" s="128">
        <f t="shared" si="19"/>
        <v>98.416649594058725</v>
      </c>
    </row>
    <row r="298" spans="1:9" s="115" customFormat="1" x14ac:dyDescent="0.2">
      <c r="A298" s="112" t="s">
        <v>502</v>
      </c>
      <c r="B298" s="113" t="s">
        <v>181</v>
      </c>
      <c r="C298" s="113" t="s">
        <v>90</v>
      </c>
      <c r="D298" s="113" t="s">
        <v>76</v>
      </c>
      <c r="E298" s="113" t="s">
        <v>571</v>
      </c>
      <c r="F298" s="113" t="s">
        <v>503</v>
      </c>
      <c r="G298" s="128">
        <f>25545.1+4796.2-450-4900</f>
        <v>24991.3</v>
      </c>
      <c r="H298" s="128">
        <v>24595.600149999998</v>
      </c>
      <c r="I298" s="128">
        <f t="shared" si="19"/>
        <v>98.416649594058725</v>
      </c>
    </row>
    <row r="299" spans="1:9" s="115" customFormat="1" x14ac:dyDescent="0.2">
      <c r="A299" s="103" t="s">
        <v>183</v>
      </c>
      <c r="B299" s="104" t="s">
        <v>181</v>
      </c>
      <c r="C299" s="104" t="s">
        <v>90</v>
      </c>
      <c r="D299" s="104" t="s">
        <v>416</v>
      </c>
      <c r="E299" s="104"/>
      <c r="F299" s="104"/>
      <c r="G299" s="105">
        <f>G300+G311</f>
        <v>4388.87057</v>
      </c>
      <c r="H299" s="105">
        <f>H300+H311</f>
        <v>4239.2394199999999</v>
      </c>
      <c r="I299" s="127">
        <f t="shared" si="19"/>
        <v>96.590668427936805</v>
      </c>
    </row>
    <row r="300" spans="1:9" s="115" customFormat="1" ht="27" x14ac:dyDescent="0.2">
      <c r="A300" s="116" t="s">
        <v>567</v>
      </c>
      <c r="B300" s="107" t="s">
        <v>181</v>
      </c>
      <c r="C300" s="107" t="s">
        <v>90</v>
      </c>
      <c r="D300" s="107" t="s">
        <v>416</v>
      </c>
      <c r="E300" s="107" t="s">
        <v>52</v>
      </c>
      <c r="F300" s="104"/>
      <c r="G300" s="108">
        <f>G301</f>
        <v>4305</v>
      </c>
      <c r="H300" s="108">
        <f>H301</f>
        <v>4155.3688499999998</v>
      </c>
      <c r="I300" s="155">
        <f t="shared" si="19"/>
        <v>96.524247386759583</v>
      </c>
    </row>
    <row r="301" spans="1:9" s="115" customFormat="1" x14ac:dyDescent="0.2">
      <c r="A301" s="103" t="s">
        <v>67</v>
      </c>
      <c r="B301" s="104" t="s">
        <v>181</v>
      </c>
      <c r="C301" s="104" t="s">
        <v>90</v>
      </c>
      <c r="D301" s="104" t="s">
        <v>416</v>
      </c>
      <c r="E301" s="104" t="s">
        <v>68</v>
      </c>
      <c r="F301" s="104"/>
      <c r="G301" s="105">
        <f>G302+G306</f>
        <v>4305</v>
      </c>
      <c r="H301" s="105">
        <f>H302+H306</f>
        <v>4155.3688499999998</v>
      </c>
      <c r="I301" s="127">
        <f t="shared" si="19"/>
        <v>96.524247386759583</v>
      </c>
    </row>
    <row r="302" spans="1:9" s="115" customFormat="1" ht="36" x14ac:dyDescent="0.2">
      <c r="A302" s="103" t="s">
        <v>305</v>
      </c>
      <c r="B302" s="104" t="s">
        <v>181</v>
      </c>
      <c r="C302" s="104" t="s">
        <v>90</v>
      </c>
      <c r="D302" s="104" t="s">
        <v>416</v>
      </c>
      <c r="E302" s="104" t="s">
        <v>69</v>
      </c>
      <c r="F302" s="104"/>
      <c r="G302" s="105">
        <f t="shared" ref="G302:H304" si="24">G303</f>
        <v>4220</v>
      </c>
      <c r="H302" s="105">
        <f t="shared" si="24"/>
        <v>4084.8198499999999</v>
      </c>
      <c r="I302" s="127">
        <f t="shared" si="19"/>
        <v>96.796678909952604</v>
      </c>
    </row>
    <row r="303" spans="1:9" s="115" customFormat="1" x14ac:dyDescent="0.2">
      <c r="A303" s="138" t="s">
        <v>296</v>
      </c>
      <c r="B303" s="118" t="s">
        <v>181</v>
      </c>
      <c r="C303" s="118" t="s">
        <v>90</v>
      </c>
      <c r="D303" s="118" t="s">
        <v>416</v>
      </c>
      <c r="E303" s="118" t="s">
        <v>69</v>
      </c>
      <c r="F303" s="118"/>
      <c r="G303" s="119">
        <f t="shared" si="24"/>
        <v>4220</v>
      </c>
      <c r="H303" s="119">
        <f t="shared" si="24"/>
        <v>4084.8198499999999</v>
      </c>
      <c r="I303" s="129">
        <f t="shared" si="19"/>
        <v>96.796678909952604</v>
      </c>
    </row>
    <row r="304" spans="1:9" s="115" customFormat="1" ht="36" x14ac:dyDescent="0.2">
      <c r="A304" s="112" t="s">
        <v>79</v>
      </c>
      <c r="B304" s="113" t="s">
        <v>181</v>
      </c>
      <c r="C304" s="113" t="s">
        <v>90</v>
      </c>
      <c r="D304" s="113" t="s">
        <v>416</v>
      </c>
      <c r="E304" s="113" t="s">
        <v>69</v>
      </c>
      <c r="F304" s="113" t="s">
        <v>80</v>
      </c>
      <c r="G304" s="114">
        <f t="shared" si="24"/>
        <v>4220</v>
      </c>
      <c r="H304" s="114">
        <f t="shared" si="24"/>
        <v>4084.8198499999999</v>
      </c>
      <c r="I304" s="128">
        <f t="shared" si="19"/>
        <v>96.796678909952604</v>
      </c>
    </row>
    <row r="305" spans="1:9" s="115" customFormat="1" x14ac:dyDescent="0.2">
      <c r="A305" s="112" t="s">
        <v>81</v>
      </c>
      <c r="B305" s="113" t="s">
        <v>181</v>
      </c>
      <c r="C305" s="113" t="s">
        <v>90</v>
      </c>
      <c r="D305" s="113" t="s">
        <v>416</v>
      </c>
      <c r="E305" s="113" t="s">
        <v>69</v>
      </c>
      <c r="F305" s="113" t="s">
        <v>82</v>
      </c>
      <c r="G305" s="114">
        <f>2830+20+850+10+60+450</f>
        <v>4220</v>
      </c>
      <c r="H305" s="114">
        <v>4084.8198499999999</v>
      </c>
      <c r="I305" s="128">
        <f t="shared" si="19"/>
        <v>96.796678909952604</v>
      </c>
    </row>
    <row r="306" spans="1:9" s="115" customFormat="1" x14ac:dyDescent="0.2">
      <c r="A306" s="103" t="s">
        <v>83</v>
      </c>
      <c r="B306" s="104" t="s">
        <v>181</v>
      </c>
      <c r="C306" s="104" t="s">
        <v>90</v>
      </c>
      <c r="D306" s="104" t="s">
        <v>416</v>
      </c>
      <c r="E306" s="104" t="s">
        <v>70</v>
      </c>
      <c r="F306" s="104"/>
      <c r="G306" s="105">
        <f>G307+G309</f>
        <v>85</v>
      </c>
      <c r="H306" s="105">
        <f>H307+H309</f>
        <v>70.549000000000007</v>
      </c>
      <c r="I306" s="127">
        <f t="shared" si="19"/>
        <v>82.998823529411766</v>
      </c>
    </row>
    <row r="307" spans="1:9" s="115" customFormat="1" x14ac:dyDescent="0.2">
      <c r="A307" s="112" t="s">
        <v>582</v>
      </c>
      <c r="B307" s="113" t="s">
        <v>181</v>
      </c>
      <c r="C307" s="113" t="s">
        <v>90</v>
      </c>
      <c r="D307" s="113" t="s">
        <v>416</v>
      </c>
      <c r="E307" s="113" t="s">
        <v>70</v>
      </c>
      <c r="F307" s="113" t="s">
        <v>84</v>
      </c>
      <c r="G307" s="114">
        <f>G308</f>
        <v>75</v>
      </c>
      <c r="H307" s="114">
        <f>H308</f>
        <v>70.549000000000007</v>
      </c>
      <c r="I307" s="128">
        <f t="shared" si="19"/>
        <v>94.065333333333342</v>
      </c>
    </row>
    <row r="308" spans="1:9" s="115" customFormat="1" x14ac:dyDescent="0.2">
      <c r="A308" s="112" t="s">
        <v>85</v>
      </c>
      <c r="B308" s="113" t="s">
        <v>181</v>
      </c>
      <c r="C308" s="113" t="s">
        <v>90</v>
      </c>
      <c r="D308" s="113" t="s">
        <v>416</v>
      </c>
      <c r="E308" s="113" t="s">
        <v>70</v>
      </c>
      <c r="F308" s="113" t="s">
        <v>86</v>
      </c>
      <c r="G308" s="114">
        <f>5+10+10+50</f>
        <v>75</v>
      </c>
      <c r="H308" s="114">
        <v>70.549000000000007</v>
      </c>
      <c r="I308" s="128">
        <f t="shared" si="19"/>
        <v>94.065333333333342</v>
      </c>
    </row>
    <row r="309" spans="1:9" s="115" customFormat="1" x14ac:dyDescent="0.2">
      <c r="A309" s="112" t="s">
        <v>87</v>
      </c>
      <c r="B309" s="113" t="s">
        <v>181</v>
      </c>
      <c r="C309" s="113" t="s">
        <v>90</v>
      </c>
      <c r="D309" s="113" t="s">
        <v>416</v>
      </c>
      <c r="E309" s="113" t="s">
        <v>70</v>
      </c>
      <c r="F309" s="113" t="s">
        <v>88</v>
      </c>
      <c r="G309" s="114">
        <f>G310</f>
        <v>10</v>
      </c>
      <c r="H309" s="128">
        <f>H310</f>
        <v>0</v>
      </c>
      <c r="I309" s="128">
        <f t="shared" si="19"/>
        <v>0</v>
      </c>
    </row>
    <row r="310" spans="1:9" s="115" customFormat="1" x14ac:dyDescent="0.2">
      <c r="A310" s="112" t="s">
        <v>500</v>
      </c>
      <c r="B310" s="113" t="s">
        <v>181</v>
      </c>
      <c r="C310" s="113" t="s">
        <v>90</v>
      </c>
      <c r="D310" s="113" t="s">
        <v>416</v>
      </c>
      <c r="E310" s="113" t="s">
        <v>70</v>
      </c>
      <c r="F310" s="113" t="s">
        <v>89</v>
      </c>
      <c r="G310" s="114">
        <v>10</v>
      </c>
      <c r="H310" s="128">
        <v>0</v>
      </c>
      <c r="I310" s="128">
        <f t="shared" si="19"/>
        <v>0</v>
      </c>
    </row>
    <row r="311" spans="1:9" s="115" customFormat="1" x14ac:dyDescent="0.2">
      <c r="A311" s="138" t="s">
        <v>74</v>
      </c>
      <c r="B311" s="118" t="s">
        <v>181</v>
      </c>
      <c r="C311" s="118" t="s">
        <v>90</v>
      </c>
      <c r="D311" s="118" t="s">
        <v>416</v>
      </c>
      <c r="E311" s="118" t="s">
        <v>209</v>
      </c>
      <c r="F311" s="113"/>
      <c r="G311" s="119">
        <f t="shared" ref="G311:H314" si="25">G312</f>
        <v>83.870570000000001</v>
      </c>
      <c r="H311" s="119">
        <f t="shared" si="25"/>
        <v>83.870570000000001</v>
      </c>
      <c r="I311" s="129">
        <f>H311/G311*100</f>
        <v>100</v>
      </c>
    </row>
    <row r="312" spans="1:9" s="115" customFormat="1" x14ac:dyDescent="0.2">
      <c r="A312" s="120" t="s">
        <v>297</v>
      </c>
      <c r="B312" s="104" t="s">
        <v>181</v>
      </c>
      <c r="C312" s="104" t="s">
        <v>90</v>
      </c>
      <c r="D312" s="104" t="s">
        <v>416</v>
      </c>
      <c r="E312" s="104" t="s">
        <v>210</v>
      </c>
      <c r="F312" s="113"/>
      <c r="G312" s="105">
        <f t="shared" si="25"/>
        <v>83.870570000000001</v>
      </c>
      <c r="H312" s="105">
        <f t="shared" si="25"/>
        <v>83.870570000000001</v>
      </c>
      <c r="I312" s="127">
        <f>H312/G312*100</f>
        <v>100</v>
      </c>
    </row>
    <row r="313" spans="1:9" s="115" customFormat="1" ht="24" x14ac:dyDescent="0.2">
      <c r="A313" s="117" t="s">
        <v>768</v>
      </c>
      <c r="B313" s="118" t="s">
        <v>181</v>
      </c>
      <c r="C313" s="118" t="s">
        <v>90</v>
      </c>
      <c r="D313" s="118" t="s">
        <v>416</v>
      </c>
      <c r="E313" s="118" t="s">
        <v>769</v>
      </c>
      <c r="F313" s="118"/>
      <c r="G313" s="119">
        <f t="shared" si="25"/>
        <v>83.870570000000001</v>
      </c>
      <c r="H313" s="119">
        <f t="shared" si="25"/>
        <v>83.870570000000001</v>
      </c>
      <c r="I313" s="119">
        <f t="shared" si="19"/>
        <v>100</v>
      </c>
    </row>
    <row r="314" spans="1:9" s="115" customFormat="1" ht="36" x14ac:dyDescent="0.2">
      <c r="A314" s="112" t="s">
        <v>79</v>
      </c>
      <c r="B314" s="113" t="s">
        <v>181</v>
      </c>
      <c r="C314" s="113" t="s">
        <v>90</v>
      </c>
      <c r="D314" s="113" t="s">
        <v>416</v>
      </c>
      <c r="E314" s="113" t="s">
        <v>769</v>
      </c>
      <c r="F314" s="113" t="s">
        <v>80</v>
      </c>
      <c r="G314" s="114">
        <f t="shared" si="25"/>
        <v>83.870570000000001</v>
      </c>
      <c r="H314" s="114">
        <f t="shared" si="25"/>
        <v>83.870570000000001</v>
      </c>
      <c r="I314" s="114">
        <f t="shared" si="19"/>
        <v>100</v>
      </c>
    </row>
    <row r="315" spans="1:9" s="115" customFormat="1" x14ac:dyDescent="0.2">
      <c r="A315" s="112" t="s">
        <v>81</v>
      </c>
      <c r="B315" s="113" t="s">
        <v>181</v>
      </c>
      <c r="C315" s="113" t="s">
        <v>90</v>
      </c>
      <c r="D315" s="113" t="s">
        <v>416</v>
      </c>
      <c r="E315" s="113" t="s">
        <v>769</v>
      </c>
      <c r="F315" s="113" t="s">
        <v>82</v>
      </c>
      <c r="G315" s="114">
        <v>83.870570000000001</v>
      </c>
      <c r="H315" s="114">
        <v>83.870570000000001</v>
      </c>
      <c r="I315" s="114">
        <f t="shared" si="19"/>
        <v>100</v>
      </c>
    </row>
    <row r="316" spans="1:9" s="115" customFormat="1" ht="31.5" x14ac:dyDescent="0.2">
      <c r="A316" s="106" t="s">
        <v>164</v>
      </c>
      <c r="B316" s="109" t="s">
        <v>165</v>
      </c>
      <c r="C316" s="113"/>
      <c r="D316" s="113"/>
      <c r="E316" s="113"/>
      <c r="F316" s="113"/>
      <c r="G316" s="111">
        <f>G324+G317</f>
        <v>1039160.5349399999</v>
      </c>
      <c r="H316" s="111">
        <f>H324+H317</f>
        <v>981023.19816000003</v>
      </c>
      <c r="I316" s="198">
        <f t="shared" si="19"/>
        <v>94.405355589898647</v>
      </c>
    </row>
    <row r="317" spans="1:9" s="115" customFormat="1" x14ac:dyDescent="0.2">
      <c r="A317" s="103" t="s">
        <v>114</v>
      </c>
      <c r="B317" s="104" t="s">
        <v>165</v>
      </c>
      <c r="C317" s="104" t="s">
        <v>76</v>
      </c>
      <c r="D317" s="104" t="s">
        <v>77</v>
      </c>
      <c r="E317" s="113"/>
      <c r="F317" s="113"/>
      <c r="G317" s="105">
        <f t="shared" ref="G317:H322" si="26">G318</f>
        <v>300.64873</v>
      </c>
      <c r="H317" s="127">
        <f t="shared" si="26"/>
        <v>0</v>
      </c>
      <c r="I317" s="127">
        <f t="shared" si="19"/>
        <v>0</v>
      </c>
    </row>
    <row r="318" spans="1:9" s="115" customFormat="1" x14ac:dyDescent="0.2">
      <c r="A318" s="146" t="s">
        <v>311</v>
      </c>
      <c r="B318" s="104" t="s">
        <v>165</v>
      </c>
      <c r="C318" s="104" t="s">
        <v>76</v>
      </c>
      <c r="D318" s="104" t="s">
        <v>93</v>
      </c>
      <c r="E318" s="113"/>
      <c r="F318" s="113"/>
      <c r="G318" s="105">
        <f t="shared" si="26"/>
        <v>300.64873</v>
      </c>
      <c r="H318" s="127">
        <f t="shared" si="26"/>
        <v>0</v>
      </c>
      <c r="I318" s="127">
        <f t="shared" si="19"/>
        <v>0</v>
      </c>
    </row>
    <row r="319" spans="1:9" s="115" customFormat="1" x14ac:dyDescent="0.2">
      <c r="A319" s="138" t="s">
        <v>74</v>
      </c>
      <c r="B319" s="118" t="s">
        <v>165</v>
      </c>
      <c r="C319" s="118" t="s">
        <v>76</v>
      </c>
      <c r="D319" s="118" t="s">
        <v>93</v>
      </c>
      <c r="E319" s="118" t="s">
        <v>209</v>
      </c>
      <c r="F319" s="118"/>
      <c r="G319" s="119">
        <f t="shared" si="26"/>
        <v>300.64873</v>
      </c>
      <c r="H319" s="129">
        <f t="shared" si="26"/>
        <v>0</v>
      </c>
      <c r="I319" s="129">
        <f t="shared" si="19"/>
        <v>0</v>
      </c>
    </row>
    <row r="320" spans="1:9" s="115" customFormat="1" x14ac:dyDescent="0.2">
      <c r="A320" s="120" t="s">
        <v>297</v>
      </c>
      <c r="B320" s="104" t="s">
        <v>165</v>
      </c>
      <c r="C320" s="104" t="s">
        <v>76</v>
      </c>
      <c r="D320" s="104" t="s">
        <v>93</v>
      </c>
      <c r="E320" s="104" t="s">
        <v>210</v>
      </c>
      <c r="F320" s="104"/>
      <c r="G320" s="105">
        <f t="shared" si="26"/>
        <v>300.64873</v>
      </c>
      <c r="H320" s="127">
        <f t="shared" si="26"/>
        <v>0</v>
      </c>
      <c r="I320" s="127">
        <f t="shared" si="19"/>
        <v>0</v>
      </c>
    </row>
    <row r="321" spans="1:9" s="115" customFormat="1" x14ac:dyDescent="0.2">
      <c r="A321" s="103" t="s">
        <v>312</v>
      </c>
      <c r="B321" s="104" t="s">
        <v>165</v>
      </c>
      <c r="C321" s="104" t="s">
        <v>76</v>
      </c>
      <c r="D321" s="104" t="s">
        <v>93</v>
      </c>
      <c r="E321" s="135" t="s">
        <v>337</v>
      </c>
      <c r="F321" s="104"/>
      <c r="G321" s="127">
        <f t="shared" si="26"/>
        <v>300.64873</v>
      </c>
      <c r="H321" s="127">
        <f t="shared" si="26"/>
        <v>0</v>
      </c>
      <c r="I321" s="127">
        <f t="shared" si="19"/>
        <v>0</v>
      </c>
    </row>
    <row r="322" spans="1:9" s="115" customFormat="1" x14ac:dyDescent="0.2">
      <c r="A322" s="112" t="s">
        <v>87</v>
      </c>
      <c r="B322" s="113" t="s">
        <v>165</v>
      </c>
      <c r="C322" s="113" t="s">
        <v>76</v>
      </c>
      <c r="D322" s="113" t="s">
        <v>93</v>
      </c>
      <c r="E322" s="123" t="s">
        <v>337</v>
      </c>
      <c r="F322" s="113" t="s">
        <v>88</v>
      </c>
      <c r="G322" s="128">
        <f t="shared" si="26"/>
        <v>300.64873</v>
      </c>
      <c r="H322" s="128">
        <f t="shared" si="26"/>
        <v>0</v>
      </c>
      <c r="I322" s="128">
        <f t="shared" si="19"/>
        <v>0</v>
      </c>
    </row>
    <row r="323" spans="1:9" s="115" customFormat="1" x14ac:dyDescent="0.2">
      <c r="A323" s="112" t="s">
        <v>149</v>
      </c>
      <c r="B323" s="113" t="s">
        <v>165</v>
      </c>
      <c r="C323" s="113" t="s">
        <v>76</v>
      </c>
      <c r="D323" s="113" t="s">
        <v>93</v>
      </c>
      <c r="E323" s="123" t="s">
        <v>337</v>
      </c>
      <c r="F323" s="113" t="s">
        <v>153</v>
      </c>
      <c r="G323" s="128">
        <v>300.64873</v>
      </c>
      <c r="H323" s="128">
        <v>0</v>
      </c>
      <c r="I323" s="128">
        <f t="shared" si="19"/>
        <v>0</v>
      </c>
    </row>
    <row r="324" spans="1:9" s="115" customFormat="1" x14ac:dyDescent="0.2">
      <c r="A324" s="103" t="s">
        <v>353</v>
      </c>
      <c r="B324" s="104" t="s">
        <v>165</v>
      </c>
      <c r="C324" s="104" t="s">
        <v>78</v>
      </c>
      <c r="D324" s="104" t="s">
        <v>77</v>
      </c>
      <c r="E324" s="113"/>
      <c r="F324" s="113"/>
      <c r="G324" s="105">
        <f>G325+G345</f>
        <v>1038859.8862099999</v>
      </c>
      <c r="H324" s="105">
        <f>H325+H345</f>
        <v>981023.19816000003</v>
      </c>
      <c r="I324" s="127">
        <f t="shared" si="19"/>
        <v>94.432676743251548</v>
      </c>
    </row>
    <row r="325" spans="1:9" s="115" customFormat="1" x14ac:dyDescent="0.2">
      <c r="A325" s="103" t="s">
        <v>357</v>
      </c>
      <c r="B325" s="104" t="s">
        <v>165</v>
      </c>
      <c r="C325" s="104" t="s">
        <v>78</v>
      </c>
      <c r="D325" s="104" t="s">
        <v>474</v>
      </c>
      <c r="E325" s="104"/>
      <c r="F325" s="104"/>
      <c r="G325" s="105">
        <f>G326+G336</f>
        <v>76371.068750000006</v>
      </c>
      <c r="H325" s="105">
        <f>H326+H336</f>
        <v>75775.948999999993</v>
      </c>
      <c r="I325" s="127">
        <f t="shared" si="19"/>
        <v>99.220752361148527</v>
      </c>
    </row>
    <row r="326" spans="1:9" s="115" customFormat="1" ht="27" x14ac:dyDescent="0.2">
      <c r="A326" s="116" t="s">
        <v>576</v>
      </c>
      <c r="B326" s="107" t="s">
        <v>165</v>
      </c>
      <c r="C326" s="107" t="s">
        <v>78</v>
      </c>
      <c r="D326" s="107" t="s">
        <v>474</v>
      </c>
      <c r="E326" s="107" t="s">
        <v>231</v>
      </c>
      <c r="F326" s="107"/>
      <c r="G326" s="108">
        <f>G327+G341</f>
        <v>76280.760000000009</v>
      </c>
      <c r="H326" s="108">
        <f>H327+H341</f>
        <v>75685.640249999997</v>
      </c>
      <c r="I326" s="155">
        <f t="shared" si="19"/>
        <v>99.219829810295522</v>
      </c>
    </row>
    <row r="327" spans="1:9" s="115" customFormat="1" ht="24" x14ac:dyDescent="0.2">
      <c r="A327" s="117" t="s">
        <v>99</v>
      </c>
      <c r="B327" s="118" t="s">
        <v>165</v>
      </c>
      <c r="C327" s="118" t="s">
        <v>78</v>
      </c>
      <c r="D327" s="118" t="s">
        <v>474</v>
      </c>
      <c r="E327" s="118" t="s">
        <v>232</v>
      </c>
      <c r="F327" s="118"/>
      <c r="G327" s="119">
        <f>G328+G331</f>
        <v>5533</v>
      </c>
      <c r="H327" s="119">
        <f>H328+H331</f>
        <v>4937.8802500000002</v>
      </c>
      <c r="I327" s="129">
        <f t="shared" si="19"/>
        <v>89.244175853967107</v>
      </c>
    </row>
    <row r="328" spans="1:9" s="115" customFormat="1" x14ac:dyDescent="0.2">
      <c r="A328" s="120" t="s">
        <v>296</v>
      </c>
      <c r="B328" s="104" t="s">
        <v>165</v>
      </c>
      <c r="C328" s="104" t="s">
        <v>78</v>
      </c>
      <c r="D328" s="104" t="s">
        <v>474</v>
      </c>
      <c r="E328" s="104" t="s">
        <v>323</v>
      </c>
      <c r="F328" s="104"/>
      <c r="G328" s="105">
        <f>G329</f>
        <v>5270</v>
      </c>
      <c r="H328" s="105">
        <f>H329</f>
        <v>4772.9246000000003</v>
      </c>
      <c r="I328" s="127">
        <f t="shared" si="19"/>
        <v>90.567829222011383</v>
      </c>
    </row>
    <row r="329" spans="1:9" s="115" customFormat="1" ht="36" x14ac:dyDescent="0.2">
      <c r="A329" s="112" t="s">
        <v>79</v>
      </c>
      <c r="B329" s="113" t="s">
        <v>165</v>
      </c>
      <c r="C329" s="113" t="s">
        <v>78</v>
      </c>
      <c r="D329" s="113" t="s">
        <v>474</v>
      </c>
      <c r="E329" s="113" t="s">
        <v>323</v>
      </c>
      <c r="F329" s="113" t="s">
        <v>80</v>
      </c>
      <c r="G329" s="114">
        <f>G330</f>
        <v>5270</v>
      </c>
      <c r="H329" s="114">
        <f>H330</f>
        <v>4772.9246000000003</v>
      </c>
      <c r="I329" s="128">
        <f t="shared" si="19"/>
        <v>90.567829222011383</v>
      </c>
    </row>
    <row r="330" spans="1:9" s="115" customFormat="1" x14ac:dyDescent="0.2">
      <c r="A330" s="112" t="s">
        <v>81</v>
      </c>
      <c r="B330" s="113" t="s">
        <v>165</v>
      </c>
      <c r="C330" s="113" t="s">
        <v>78</v>
      </c>
      <c r="D330" s="113" t="s">
        <v>474</v>
      </c>
      <c r="E330" s="113" t="s">
        <v>323</v>
      </c>
      <c r="F330" s="113" t="s">
        <v>82</v>
      </c>
      <c r="G330" s="114">
        <f>4050+1220</f>
        <v>5270</v>
      </c>
      <c r="H330" s="114">
        <v>4772.9246000000003</v>
      </c>
      <c r="I330" s="128">
        <f t="shared" si="19"/>
        <v>90.567829222011383</v>
      </c>
    </row>
    <row r="331" spans="1:9" s="115" customFormat="1" x14ac:dyDescent="0.2">
      <c r="A331" s="103" t="s">
        <v>83</v>
      </c>
      <c r="B331" s="104" t="s">
        <v>165</v>
      </c>
      <c r="C331" s="104" t="s">
        <v>78</v>
      </c>
      <c r="D331" s="104" t="s">
        <v>474</v>
      </c>
      <c r="E331" s="104" t="s">
        <v>324</v>
      </c>
      <c r="F331" s="104"/>
      <c r="G331" s="105">
        <f>G332+G334</f>
        <v>263</v>
      </c>
      <c r="H331" s="105">
        <f>H332+H334</f>
        <v>164.95565000000002</v>
      </c>
      <c r="I331" s="127">
        <f t="shared" ref="I331:I396" si="27">H331/G331*100</f>
        <v>62.720779467680622</v>
      </c>
    </row>
    <row r="332" spans="1:9" s="115" customFormat="1" x14ac:dyDescent="0.2">
      <c r="A332" s="112" t="s">
        <v>582</v>
      </c>
      <c r="B332" s="113" t="s">
        <v>165</v>
      </c>
      <c r="C332" s="113" t="s">
        <v>78</v>
      </c>
      <c r="D332" s="113" t="s">
        <v>474</v>
      </c>
      <c r="E332" s="113" t="s">
        <v>324</v>
      </c>
      <c r="F332" s="113" t="s">
        <v>84</v>
      </c>
      <c r="G332" s="114">
        <f>G333</f>
        <v>257</v>
      </c>
      <c r="H332" s="114">
        <f>H333</f>
        <v>162.25058000000001</v>
      </c>
      <c r="I332" s="128">
        <f t="shared" si="27"/>
        <v>63.132521400778217</v>
      </c>
    </row>
    <row r="333" spans="1:9" s="115" customFormat="1" x14ac:dyDescent="0.2">
      <c r="A333" s="112" t="s">
        <v>85</v>
      </c>
      <c r="B333" s="113" t="s">
        <v>165</v>
      </c>
      <c r="C333" s="113" t="s">
        <v>78</v>
      </c>
      <c r="D333" s="113" t="s">
        <v>474</v>
      </c>
      <c r="E333" s="113" t="s">
        <v>324</v>
      </c>
      <c r="F333" s="113" t="s">
        <v>86</v>
      </c>
      <c r="G333" s="114">
        <f>260-3</f>
        <v>257</v>
      </c>
      <c r="H333" s="114">
        <v>162.25058000000001</v>
      </c>
      <c r="I333" s="128">
        <f t="shared" si="27"/>
        <v>63.132521400778217</v>
      </c>
    </row>
    <row r="334" spans="1:9" s="115" customFormat="1" x14ac:dyDescent="0.2">
      <c r="A334" s="112" t="s">
        <v>87</v>
      </c>
      <c r="B334" s="113" t="s">
        <v>165</v>
      </c>
      <c r="C334" s="113" t="s">
        <v>78</v>
      </c>
      <c r="D334" s="113" t="s">
        <v>474</v>
      </c>
      <c r="E334" s="113" t="s">
        <v>324</v>
      </c>
      <c r="F334" s="113" t="s">
        <v>88</v>
      </c>
      <c r="G334" s="128">
        <f>G335</f>
        <v>6</v>
      </c>
      <c r="H334" s="128">
        <f>H335</f>
        <v>2.7050700000000001</v>
      </c>
      <c r="I334" s="128">
        <f t="shared" si="27"/>
        <v>45.084499999999998</v>
      </c>
    </row>
    <row r="335" spans="1:9" s="115" customFormat="1" x14ac:dyDescent="0.2">
      <c r="A335" s="112" t="s">
        <v>154</v>
      </c>
      <c r="B335" s="113" t="s">
        <v>165</v>
      </c>
      <c r="C335" s="113" t="s">
        <v>78</v>
      </c>
      <c r="D335" s="113" t="s">
        <v>474</v>
      </c>
      <c r="E335" s="113" t="s">
        <v>324</v>
      </c>
      <c r="F335" s="113" t="s">
        <v>89</v>
      </c>
      <c r="G335" s="128">
        <v>6</v>
      </c>
      <c r="H335" s="128">
        <v>2.7050700000000001</v>
      </c>
      <c r="I335" s="128">
        <f t="shared" si="27"/>
        <v>45.084499999999998</v>
      </c>
    </row>
    <row r="336" spans="1:9" s="115" customFormat="1" x14ac:dyDescent="0.2">
      <c r="A336" s="138" t="s">
        <v>74</v>
      </c>
      <c r="B336" s="118" t="s">
        <v>165</v>
      </c>
      <c r="C336" s="118" t="s">
        <v>78</v>
      </c>
      <c r="D336" s="118" t="s">
        <v>474</v>
      </c>
      <c r="E336" s="118" t="s">
        <v>209</v>
      </c>
      <c r="F336" s="113"/>
      <c r="G336" s="119">
        <f t="shared" ref="G336:H339" si="28">G337</f>
        <v>90.308750000000003</v>
      </c>
      <c r="H336" s="119">
        <f t="shared" si="28"/>
        <v>90.308750000000003</v>
      </c>
      <c r="I336" s="129">
        <f>H336/G336*100</f>
        <v>100</v>
      </c>
    </row>
    <row r="337" spans="1:9" s="115" customFormat="1" x14ac:dyDescent="0.2">
      <c r="A337" s="120" t="s">
        <v>297</v>
      </c>
      <c r="B337" s="104" t="s">
        <v>165</v>
      </c>
      <c r="C337" s="104" t="s">
        <v>78</v>
      </c>
      <c r="D337" s="104" t="s">
        <v>474</v>
      </c>
      <c r="E337" s="104" t="s">
        <v>210</v>
      </c>
      <c r="F337" s="113"/>
      <c r="G337" s="105">
        <f t="shared" si="28"/>
        <v>90.308750000000003</v>
      </c>
      <c r="H337" s="105">
        <f t="shared" si="28"/>
        <v>90.308750000000003</v>
      </c>
      <c r="I337" s="127">
        <f>H337/G337*100</f>
        <v>100</v>
      </c>
    </row>
    <row r="338" spans="1:9" s="115" customFormat="1" ht="24" x14ac:dyDescent="0.2">
      <c r="A338" s="117" t="s">
        <v>768</v>
      </c>
      <c r="B338" s="118" t="s">
        <v>165</v>
      </c>
      <c r="C338" s="118" t="s">
        <v>78</v>
      </c>
      <c r="D338" s="118" t="s">
        <v>474</v>
      </c>
      <c r="E338" s="118" t="s">
        <v>769</v>
      </c>
      <c r="F338" s="118"/>
      <c r="G338" s="119">
        <f t="shared" si="28"/>
        <v>90.308750000000003</v>
      </c>
      <c r="H338" s="119">
        <f t="shared" si="28"/>
        <v>90.308750000000003</v>
      </c>
      <c r="I338" s="119">
        <f t="shared" si="27"/>
        <v>100</v>
      </c>
    </row>
    <row r="339" spans="1:9" s="115" customFormat="1" ht="36" x14ac:dyDescent="0.2">
      <c r="A339" s="112" t="s">
        <v>79</v>
      </c>
      <c r="B339" s="113" t="s">
        <v>165</v>
      </c>
      <c r="C339" s="113" t="s">
        <v>78</v>
      </c>
      <c r="D339" s="113" t="s">
        <v>474</v>
      </c>
      <c r="E339" s="113" t="s">
        <v>769</v>
      </c>
      <c r="F339" s="113" t="s">
        <v>80</v>
      </c>
      <c r="G339" s="114">
        <f t="shared" si="28"/>
        <v>90.308750000000003</v>
      </c>
      <c r="H339" s="114">
        <f t="shared" si="28"/>
        <v>90.308750000000003</v>
      </c>
      <c r="I339" s="114">
        <f t="shared" si="27"/>
        <v>100</v>
      </c>
    </row>
    <row r="340" spans="1:9" s="115" customFormat="1" x14ac:dyDescent="0.2">
      <c r="A340" s="112" t="s">
        <v>81</v>
      </c>
      <c r="B340" s="113" t="s">
        <v>165</v>
      </c>
      <c r="C340" s="113" t="s">
        <v>78</v>
      </c>
      <c r="D340" s="113" t="s">
        <v>474</v>
      </c>
      <c r="E340" s="113" t="s">
        <v>769</v>
      </c>
      <c r="F340" s="113" t="s">
        <v>82</v>
      </c>
      <c r="G340" s="114">
        <v>90.308750000000003</v>
      </c>
      <c r="H340" s="114">
        <v>90.308750000000003</v>
      </c>
      <c r="I340" s="114">
        <f t="shared" si="27"/>
        <v>100</v>
      </c>
    </row>
    <row r="341" spans="1:9" s="115" customFormat="1" x14ac:dyDescent="0.2">
      <c r="A341" s="121" t="s">
        <v>325</v>
      </c>
      <c r="B341" s="118" t="s">
        <v>165</v>
      </c>
      <c r="C341" s="118" t="s">
        <v>78</v>
      </c>
      <c r="D341" s="118" t="s">
        <v>474</v>
      </c>
      <c r="E341" s="122" t="s">
        <v>326</v>
      </c>
      <c r="F341" s="118"/>
      <c r="G341" s="119">
        <f t="shared" ref="G341:H343" si="29">G342</f>
        <v>70747.760000000009</v>
      </c>
      <c r="H341" s="119">
        <f t="shared" si="29"/>
        <v>70747.759999999995</v>
      </c>
      <c r="I341" s="129">
        <f t="shared" si="27"/>
        <v>99.999999999999972</v>
      </c>
    </row>
    <row r="342" spans="1:9" s="115" customFormat="1" ht="24" x14ac:dyDescent="0.2">
      <c r="A342" s="121" t="s">
        <v>577</v>
      </c>
      <c r="B342" s="118" t="s">
        <v>165</v>
      </c>
      <c r="C342" s="118" t="s">
        <v>78</v>
      </c>
      <c r="D342" s="118" t="s">
        <v>474</v>
      </c>
      <c r="E342" s="122" t="s">
        <v>578</v>
      </c>
      <c r="F342" s="118"/>
      <c r="G342" s="119">
        <f t="shared" si="29"/>
        <v>70747.760000000009</v>
      </c>
      <c r="H342" s="119">
        <f t="shared" si="29"/>
        <v>70747.759999999995</v>
      </c>
      <c r="I342" s="129">
        <f t="shared" si="27"/>
        <v>99.999999999999972</v>
      </c>
    </row>
    <row r="343" spans="1:9" s="115" customFormat="1" x14ac:dyDescent="0.2">
      <c r="A343" s="112" t="s">
        <v>87</v>
      </c>
      <c r="B343" s="113" t="s">
        <v>165</v>
      </c>
      <c r="C343" s="113" t="s">
        <v>78</v>
      </c>
      <c r="D343" s="113" t="s">
        <v>474</v>
      </c>
      <c r="E343" s="123" t="s">
        <v>578</v>
      </c>
      <c r="F343" s="113" t="s">
        <v>88</v>
      </c>
      <c r="G343" s="114">
        <f t="shared" si="29"/>
        <v>70747.760000000009</v>
      </c>
      <c r="H343" s="114">
        <f t="shared" si="29"/>
        <v>70747.759999999995</v>
      </c>
      <c r="I343" s="128">
        <f t="shared" si="27"/>
        <v>99.999999999999972</v>
      </c>
    </row>
    <row r="344" spans="1:9" s="115" customFormat="1" ht="24" x14ac:dyDescent="0.2">
      <c r="A344" s="112" t="s">
        <v>579</v>
      </c>
      <c r="B344" s="113" t="s">
        <v>165</v>
      </c>
      <c r="C344" s="113" t="s">
        <v>78</v>
      </c>
      <c r="D344" s="113" t="s">
        <v>474</v>
      </c>
      <c r="E344" s="123" t="s">
        <v>578</v>
      </c>
      <c r="F344" s="113" t="s">
        <v>414</v>
      </c>
      <c r="G344" s="114">
        <f>63000-2252.24+10000</f>
        <v>70747.760000000009</v>
      </c>
      <c r="H344" s="114">
        <v>70747.759999999995</v>
      </c>
      <c r="I344" s="128">
        <f t="shared" si="27"/>
        <v>99.999999999999972</v>
      </c>
    </row>
    <row r="345" spans="1:9" s="115" customFormat="1" x14ac:dyDescent="0.2">
      <c r="A345" s="103" t="s">
        <v>380</v>
      </c>
      <c r="B345" s="104" t="s">
        <v>165</v>
      </c>
      <c r="C345" s="104" t="s">
        <v>78</v>
      </c>
      <c r="D345" s="104" t="s">
        <v>470</v>
      </c>
      <c r="E345" s="123"/>
      <c r="F345" s="113"/>
      <c r="G345" s="105">
        <f>G346</f>
        <v>962488.81745999993</v>
      </c>
      <c r="H345" s="105">
        <f>H346</f>
        <v>905247.24916000001</v>
      </c>
      <c r="I345" s="127">
        <f t="shared" si="27"/>
        <v>94.052754976306119</v>
      </c>
    </row>
    <row r="346" spans="1:9" s="115" customFormat="1" ht="27" x14ac:dyDescent="0.2">
      <c r="A346" s="116" t="s">
        <v>576</v>
      </c>
      <c r="B346" s="107" t="s">
        <v>165</v>
      </c>
      <c r="C346" s="107" t="s">
        <v>78</v>
      </c>
      <c r="D346" s="107" t="s">
        <v>470</v>
      </c>
      <c r="E346" s="107" t="s">
        <v>231</v>
      </c>
      <c r="F346" s="107"/>
      <c r="G346" s="108">
        <f>G351+G380+G347</f>
        <v>962488.81745999993</v>
      </c>
      <c r="H346" s="108">
        <f>H351+H380+H347</f>
        <v>905247.24916000001</v>
      </c>
      <c r="I346" s="155">
        <f t="shared" si="27"/>
        <v>94.052754976306119</v>
      </c>
    </row>
    <row r="347" spans="1:9" s="115" customFormat="1" ht="24" x14ac:dyDescent="0.2">
      <c r="A347" s="103" t="s">
        <v>99</v>
      </c>
      <c r="B347" s="104" t="s">
        <v>165</v>
      </c>
      <c r="C347" s="104" t="s">
        <v>78</v>
      </c>
      <c r="D347" s="104" t="s">
        <v>470</v>
      </c>
      <c r="E347" s="104" t="s">
        <v>232</v>
      </c>
      <c r="F347" s="107"/>
      <c r="G347" s="105">
        <f t="shared" ref="G347:H349" si="30">G348</f>
        <v>1365.35</v>
      </c>
      <c r="H347" s="105">
        <f t="shared" si="30"/>
        <v>1365.3489999999999</v>
      </c>
      <c r="I347" s="127">
        <f t="shared" si="27"/>
        <v>99.999926758706565</v>
      </c>
    </row>
    <row r="348" spans="1:9" s="115" customFormat="1" x14ac:dyDescent="0.2">
      <c r="A348" s="103" t="s">
        <v>223</v>
      </c>
      <c r="B348" s="104" t="s">
        <v>165</v>
      </c>
      <c r="C348" s="104" t="s">
        <v>78</v>
      </c>
      <c r="D348" s="104" t="s">
        <v>470</v>
      </c>
      <c r="E348" s="104" t="s">
        <v>743</v>
      </c>
      <c r="F348" s="104"/>
      <c r="G348" s="105">
        <f t="shared" si="30"/>
        <v>1365.35</v>
      </c>
      <c r="H348" s="105">
        <f t="shared" si="30"/>
        <v>1365.3489999999999</v>
      </c>
      <c r="I348" s="127">
        <f t="shared" si="27"/>
        <v>99.999926758706565</v>
      </c>
    </row>
    <row r="349" spans="1:9" s="115" customFormat="1" x14ac:dyDescent="0.2">
      <c r="A349" s="112" t="s">
        <v>294</v>
      </c>
      <c r="B349" s="113" t="s">
        <v>165</v>
      </c>
      <c r="C349" s="113" t="s">
        <v>78</v>
      </c>
      <c r="D349" s="113" t="s">
        <v>470</v>
      </c>
      <c r="E349" s="113" t="s">
        <v>743</v>
      </c>
      <c r="F349" s="113" t="s">
        <v>84</v>
      </c>
      <c r="G349" s="114">
        <f t="shared" si="30"/>
        <v>1365.35</v>
      </c>
      <c r="H349" s="114">
        <f t="shared" si="30"/>
        <v>1365.3489999999999</v>
      </c>
      <c r="I349" s="128">
        <f t="shared" si="27"/>
        <v>99.999926758706565</v>
      </c>
    </row>
    <row r="350" spans="1:9" s="115" customFormat="1" x14ac:dyDescent="0.2">
      <c r="A350" s="112" t="s">
        <v>85</v>
      </c>
      <c r="B350" s="113" t="s">
        <v>165</v>
      </c>
      <c r="C350" s="113" t="s">
        <v>78</v>
      </c>
      <c r="D350" s="113" t="s">
        <v>470</v>
      </c>
      <c r="E350" s="113" t="s">
        <v>743</v>
      </c>
      <c r="F350" s="113" t="s">
        <v>86</v>
      </c>
      <c r="G350" s="114">
        <v>1365.35</v>
      </c>
      <c r="H350" s="114">
        <v>1365.3489999999999</v>
      </c>
      <c r="I350" s="128">
        <f t="shared" si="27"/>
        <v>99.999926758706565</v>
      </c>
    </row>
    <row r="351" spans="1:9" s="115" customFormat="1" ht="36" x14ac:dyDescent="0.2">
      <c r="A351" s="121" t="s">
        <v>580</v>
      </c>
      <c r="B351" s="118" t="s">
        <v>165</v>
      </c>
      <c r="C351" s="118" t="s">
        <v>78</v>
      </c>
      <c r="D351" s="118" t="s">
        <v>470</v>
      </c>
      <c r="E351" s="122" t="s">
        <v>327</v>
      </c>
      <c r="F351" s="118"/>
      <c r="G351" s="119">
        <f>G352+G357+G360+G365+G370+G375</f>
        <v>921014.16745999991</v>
      </c>
      <c r="H351" s="119">
        <f>H352+H357+H360+H365+H370+H375</f>
        <v>864212.4121999999</v>
      </c>
      <c r="I351" s="155">
        <f t="shared" si="27"/>
        <v>93.832694732954053</v>
      </c>
    </row>
    <row r="352" spans="1:9" s="115" customFormat="1" ht="24" x14ac:dyDescent="0.2">
      <c r="A352" s="103" t="s">
        <v>234</v>
      </c>
      <c r="B352" s="104" t="s">
        <v>165</v>
      </c>
      <c r="C352" s="104" t="s">
        <v>78</v>
      </c>
      <c r="D352" s="104" t="s">
        <v>470</v>
      </c>
      <c r="E352" s="104" t="s">
        <v>581</v>
      </c>
      <c r="F352" s="104"/>
      <c r="G352" s="105">
        <f>G353+G355</f>
        <v>25938.064190000001</v>
      </c>
      <c r="H352" s="105">
        <f>H353+H355</f>
        <v>22664.420110000003</v>
      </c>
      <c r="I352" s="127">
        <f t="shared" si="27"/>
        <v>87.378996150136373</v>
      </c>
    </row>
    <row r="353" spans="1:9" s="115" customFormat="1" x14ac:dyDescent="0.2">
      <c r="A353" s="112" t="s">
        <v>582</v>
      </c>
      <c r="B353" s="113" t="s">
        <v>165</v>
      </c>
      <c r="C353" s="113" t="s">
        <v>78</v>
      </c>
      <c r="D353" s="113" t="s">
        <v>470</v>
      </c>
      <c r="E353" s="113" t="s">
        <v>581</v>
      </c>
      <c r="F353" s="113" t="s">
        <v>84</v>
      </c>
      <c r="G353" s="114">
        <f>G354</f>
        <v>25301.39819</v>
      </c>
      <c r="H353" s="114">
        <f>H354</f>
        <v>22027.754110000002</v>
      </c>
      <c r="I353" s="128">
        <f t="shared" si="27"/>
        <v>87.061410379708363</v>
      </c>
    </row>
    <row r="354" spans="1:9" s="115" customFormat="1" x14ac:dyDescent="0.2">
      <c r="A354" s="112" t="s">
        <v>85</v>
      </c>
      <c r="B354" s="113" t="s">
        <v>165</v>
      </c>
      <c r="C354" s="113" t="s">
        <v>78</v>
      </c>
      <c r="D354" s="113" t="s">
        <v>470</v>
      </c>
      <c r="E354" s="113" t="s">
        <v>581</v>
      </c>
      <c r="F354" s="113" t="s">
        <v>86</v>
      </c>
      <c r="G354" s="114">
        <f>19534+8181.06419-636.666-1777</f>
        <v>25301.39819</v>
      </c>
      <c r="H354" s="114">
        <v>22027.754110000002</v>
      </c>
      <c r="I354" s="128">
        <f t="shared" si="27"/>
        <v>87.061410379708363</v>
      </c>
    </row>
    <row r="355" spans="1:9" s="115" customFormat="1" ht="24" x14ac:dyDescent="0.2">
      <c r="A355" s="112" t="s">
        <v>417</v>
      </c>
      <c r="B355" s="113" t="s">
        <v>165</v>
      </c>
      <c r="C355" s="113" t="s">
        <v>78</v>
      </c>
      <c r="D355" s="113" t="s">
        <v>470</v>
      </c>
      <c r="E355" s="113" t="s">
        <v>581</v>
      </c>
      <c r="F355" s="113" t="s">
        <v>418</v>
      </c>
      <c r="G355" s="114">
        <f>G356</f>
        <v>636.66600000000005</v>
      </c>
      <c r="H355" s="114">
        <f>H356</f>
        <v>636.66600000000005</v>
      </c>
      <c r="I355" s="128">
        <f t="shared" si="27"/>
        <v>100</v>
      </c>
    </row>
    <row r="356" spans="1:9" s="115" customFormat="1" x14ac:dyDescent="0.2">
      <c r="A356" s="112" t="s">
        <v>419</v>
      </c>
      <c r="B356" s="113" t="s">
        <v>165</v>
      </c>
      <c r="C356" s="113" t="s">
        <v>78</v>
      </c>
      <c r="D356" s="113" t="s">
        <v>470</v>
      </c>
      <c r="E356" s="113" t="s">
        <v>581</v>
      </c>
      <c r="F356" s="113" t="s">
        <v>420</v>
      </c>
      <c r="G356" s="114">
        <v>636.66600000000005</v>
      </c>
      <c r="H356" s="114">
        <v>636.66600000000005</v>
      </c>
      <c r="I356" s="128">
        <f t="shared" si="27"/>
        <v>100</v>
      </c>
    </row>
    <row r="357" spans="1:9" s="115" customFormat="1" x14ac:dyDescent="0.2">
      <c r="A357" s="103" t="s">
        <v>223</v>
      </c>
      <c r="B357" s="104" t="s">
        <v>165</v>
      </c>
      <c r="C357" s="104" t="s">
        <v>78</v>
      </c>
      <c r="D357" s="104" t="s">
        <v>470</v>
      </c>
      <c r="E357" s="104" t="s">
        <v>583</v>
      </c>
      <c r="F357" s="104"/>
      <c r="G357" s="105">
        <f>G358</f>
        <v>33588.281269999999</v>
      </c>
      <c r="H357" s="105">
        <f>H358</f>
        <v>32038.221430000001</v>
      </c>
      <c r="I357" s="127">
        <f t="shared" si="27"/>
        <v>95.385117126000537</v>
      </c>
    </row>
    <row r="358" spans="1:9" s="115" customFormat="1" x14ac:dyDescent="0.2">
      <c r="A358" s="112" t="s">
        <v>582</v>
      </c>
      <c r="B358" s="113" t="s">
        <v>165</v>
      </c>
      <c r="C358" s="113" t="s">
        <v>78</v>
      </c>
      <c r="D358" s="113" t="s">
        <v>470</v>
      </c>
      <c r="E358" s="113" t="s">
        <v>583</v>
      </c>
      <c r="F358" s="113" t="s">
        <v>84</v>
      </c>
      <c r="G358" s="114">
        <f>G359</f>
        <v>33588.281269999999</v>
      </c>
      <c r="H358" s="114">
        <f>H359</f>
        <v>32038.221430000001</v>
      </c>
      <c r="I358" s="128">
        <f t="shared" si="27"/>
        <v>95.385117126000537</v>
      </c>
    </row>
    <row r="359" spans="1:9" s="115" customFormat="1" x14ac:dyDescent="0.2">
      <c r="A359" s="112" t="s">
        <v>85</v>
      </c>
      <c r="B359" s="113" t="s">
        <v>165</v>
      </c>
      <c r="C359" s="113" t="s">
        <v>78</v>
      </c>
      <c r="D359" s="113" t="s">
        <v>470</v>
      </c>
      <c r="E359" s="113" t="s">
        <v>583</v>
      </c>
      <c r="F359" s="113" t="s">
        <v>86</v>
      </c>
      <c r="G359" s="114">
        <f>4450.7+33111.3-2232.72-1365.35-75-300.64873</f>
        <v>33588.281269999999</v>
      </c>
      <c r="H359" s="114">
        <v>32038.221430000001</v>
      </c>
      <c r="I359" s="128">
        <f t="shared" si="27"/>
        <v>95.385117126000537</v>
      </c>
    </row>
    <row r="360" spans="1:9" s="115" customFormat="1" ht="24" x14ac:dyDescent="0.2">
      <c r="A360" s="136" t="s">
        <v>584</v>
      </c>
      <c r="B360" s="118" t="s">
        <v>165</v>
      </c>
      <c r="C360" s="118" t="s">
        <v>78</v>
      </c>
      <c r="D360" s="118" t="s">
        <v>470</v>
      </c>
      <c r="E360" s="118" t="s">
        <v>43</v>
      </c>
      <c r="F360" s="118"/>
      <c r="G360" s="129">
        <f>G361+G363</f>
        <v>313475.59899999999</v>
      </c>
      <c r="H360" s="129">
        <f>H361+H363</f>
        <v>278851.46364999999</v>
      </c>
      <c r="I360" s="129">
        <f t="shared" si="27"/>
        <v>88.954759011402345</v>
      </c>
    </row>
    <row r="361" spans="1:9" s="115" customFormat="1" x14ac:dyDescent="0.2">
      <c r="A361" s="112" t="s">
        <v>582</v>
      </c>
      <c r="B361" s="113" t="s">
        <v>165</v>
      </c>
      <c r="C361" s="113" t="s">
        <v>78</v>
      </c>
      <c r="D361" s="113" t="s">
        <v>470</v>
      </c>
      <c r="E361" s="113" t="s">
        <v>43</v>
      </c>
      <c r="F361" s="113" t="s">
        <v>84</v>
      </c>
      <c r="G361" s="128">
        <f>G362</f>
        <v>311100.59899999999</v>
      </c>
      <c r="H361" s="128">
        <f>H362</f>
        <v>276476.46364999999</v>
      </c>
      <c r="I361" s="128">
        <f t="shared" si="27"/>
        <v>88.870437581510402</v>
      </c>
    </row>
    <row r="362" spans="1:9" s="115" customFormat="1" x14ac:dyDescent="0.2">
      <c r="A362" s="112" t="s">
        <v>85</v>
      </c>
      <c r="B362" s="113" t="s">
        <v>165</v>
      </c>
      <c r="C362" s="113" t="s">
        <v>78</v>
      </c>
      <c r="D362" s="113" t="s">
        <v>470</v>
      </c>
      <c r="E362" s="113" t="s">
        <v>43</v>
      </c>
      <c r="F362" s="113" t="s">
        <v>86</v>
      </c>
      <c r="G362" s="128">
        <f>151753.82-24750-2375+150000+11721.779+10800+13950</f>
        <v>311100.59899999999</v>
      </c>
      <c r="H362" s="128">
        <v>276476.46364999999</v>
      </c>
      <c r="I362" s="128">
        <f t="shared" si="27"/>
        <v>88.870437581510402</v>
      </c>
    </row>
    <row r="363" spans="1:9" s="115" customFormat="1" ht="24" x14ac:dyDescent="0.2">
      <c r="A363" s="112" t="s">
        <v>417</v>
      </c>
      <c r="B363" s="113" t="s">
        <v>165</v>
      </c>
      <c r="C363" s="113" t="s">
        <v>78</v>
      </c>
      <c r="D363" s="113" t="s">
        <v>470</v>
      </c>
      <c r="E363" s="113" t="s">
        <v>43</v>
      </c>
      <c r="F363" s="113" t="s">
        <v>418</v>
      </c>
      <c r="G363" s="128">
        <f>G364</f>
        <v>2375</v>
      </c>
      <c r="H363" s="128">
        <f>H364</f>
        <v>2375</v>
      </c>
      <c r="I363" s="128">
        <f t="shared" si="27"/>
        <v>100</v>
      </c>
    </row>
    <row r="364" spans="1:9" s="115" customFormat="1" x14ac:dyDescent="0.2">
      <c r="A364" s="112" t="s">
        <v>419</v>
      </c>
      <c r="B364" s="113" t="s">
        <v>165</v>
      </c>
      <c r="C364" s="113" t="s">
        <v>78</v>
      </c>
      <c r="D364" s="113" t="s">
        <v>470</v>
      </c>
      <c r="E364" s="113" t="s">
        <v>43</v>
      </c>
      <c r="F364" s="113" t="s">
        <v>420</v>
      </c>
      <c r="G364" s="128">
        <f>24750+2375-10800-13950</f>
        <v>2375</v>
      </c>
      <c r="H364" s="128">
        <v>2375</v>
      </c>
      <c r="I364" s="128">
        <f t="shared" si="27"/>
        <v>100</v>
      </c>
    </row>
    <row r="365" spans="1:9" s="115" customFormat="1" ht="24" x14ac:dyDescent="0.2">
      <c r="A365" s="117" t="s">
        <v>235</v>
      </c>
      <c r="B365" s="118" t="s">
        <v>165</v>
      </c>
      <c r="C365" s="118" t="s">
        <v>78</v>
      </c>
      <c r="D365" s="118" t="s">
        <v>470</v>
      </c>
      <c r="E365" s="118" t="s">
        <v>44</v>
      </c>
      <c r="F365" s="118"/>
      <c r="G365" s="129">
        <f>G366+G368</f>
        <v>19570.419999999998</v>
      </c>
      <c r="H365" s="129">
        <f>H366+H368</f>
        <v>14764.229009999999</v>
      </c>
      <c r="I365" s="129">
        <f t="shared" si="27"/>
        <v>75.441554192500732</v>
      </c>
    </row>
    <row r="366" spans="1:9" s="115" customFormat="1" x14ac:dyDescent="0.2">
      <c r="A366" s="112" t="s">
        <v>582</v>
      </c>
      <c r="B366" s="113" t="s">
        <v>165</v>
      </c>
      <c r="C366" s="113" t="s">
        <v>78</v>
      </c>
      <c r="D366" s="113" t="s">
        <v>470</v>
      </c>
      <c r="E366" s="113" t="s">
        <v>44</v>
      </c>
      <c r="F366" s="113" t="s">
        <v>84</v>
      </c>
      <c r="G366" s="128">
        <f>G367</f>
        <v>19445.419999999998</v>
      </c>
      <c r="H366" s="128">
        <f>H367</f>
        <v>14639.229009999999</v>
      </c>
      <c r="I366" s="128">
        <f t="shared" si="27"/>
        <v>75.283686389905697</v>
      </c>
    </row>
    <row r="367" spans="1:9" s="115" customFormat="1" x14ac:dyDescent="0.2">
      <c r="A367" s="112" t="s">
        <v>85</v>
      </c>
      <c r="B367" s="113" t="s">
        <v>165</v>
      </c>
      <c r="C367" s="113" t="s">
        <v>78</v>
      </c>
      <c r="D367" s="113" t="s">
        <v>470</v>
      </c>
      <c r="E367" s="113" t="s">
        <v>44</v>
      </c>
      <c r="F367" s="113" t="s">
        <v>86</v>
      </c>
      <c r="G367" s="128">
        <f>10623-2750+2232.72-125+1200+6714.7+1550</f>
        <v>19445.419999999998</v>
      </c>
      <c r="H367" s="128">
        <v>14639.229009999999</v>
      </c>
      <c r="I367" s="128">
        <f t="shared" si="27"/>
        <v>75.283686389905697</v>
      </c>
    </row>
    <row r="368" spans="1:9" s="115" customFormat="1" ht="24" x14ac:dyDescent="0.2">
      <c r="A368" s="112" t="s">
        <v>417</v>
      </c>
      <c r="B368" s="113" t="s">
        <v>165</v>
      </c>
      <c r="C368" s="113" t="s">
        <v>78</v>
      </c>
      <c r="D368" s="113" t="s">
        <v>470</v>
      </c>
      <c r="E368" s="113" t="s">
        <v>44</v>
      </c>
      <c r="F368" s="113" t="s">
        <v>418</v>
      </c>
      <c r="G368" s="128">
        <f>G369</f>
        <v>125</v>
      </c>
      <c r="H368" s="128">
        <f>H369</f>
        <v>125</v>
      </c>
      <c r="I368" s="128">
        <f t="shared" si="27"/>
        <v>100</v>
      </c>
    </row>
    <row r="369" spans="1:9" s="115" customFormat="1" x14ac:dyDescent="0.2">
      <c r="A369" s="112" t="s">
        <v>419</v>
      </c>
      <c r="B369" s="113" t="s">
        <v>165</v>
      </c>
      <c r="C369" s="113" t="s">
        <v>78</v>
      </c>
      <c r="D369" s="113" t="s">
        <v>470</v>
      </c>
      <c r="E369" s="113" t="s">
        <v>44</v>
      </c>
      <c r="F369" s="113" t="s">
        <v>420</v>
      </c>
      <c r="G369" s="128">
        <f>2750+125-1200-1550</f>
        <v>125</v>
      </c>
      <c r="H369" s="128">
        <v>125</v>
      </c>
      <c r="I369" s="128">
        <f t="shared" si="27"/>
        <v>100</v>
      </c>
    </row>
    <row r="370" spans="1:9" s="115" customFormat="1" ht="48" x14ac:dyDescent="0.2">
      <c r="A370" s="103" t="s">
        <v>685</v>
      </c>
      <c r="B370" s="104" t="s">
        <v>165</v>
      </c>
      <c r="C370" s="104" t="s">
        <v>572</v>
      </c>
      <c r="D370" s="104" t="s">
        <v>470</v>
      </c>
      <c r="E370" s="104" t="s">
        <v>573</v>
      </c>
      <c r="F370" s="104"/>
      <c r="G370" s="127">
        <f>G371+G373</f>
        <v>400000</v>
      </c>
      <c r="H370" s="127">
        <f>H371+H373</f>
        <v>400000</v>
      </c>
      <c r="I370" s="127">
        <f t="shared" si="27"/>
        <v>100</v>
      </c>
    </row>
    <row r="371" spans="1:9" s="115" customFormat="1" x14ac:dyDescent="0.2">
      <c r="A371" s="112" t="s">
        <v>582</v>
      </c>
      <c r="B371" s="113" t="s">
        <v>165</v>
      </c>
      <c r="C371" s="113" t="s">
        <v>78</v>
      </c>
      <c r="D371" s="113" t="s">
        <v>470</v>
      </c>
      <c r="E371" s="113" t="s">
        <v>573</v>
      </c>
      <c r="F371" s="113" t="s">
        <v>84</v>
      </c>
      <c r="G371" s="128">
        <f>G372</f>
        <v>329000</v>
      </c>
      <c r="H371" s="128">
        <f>H372</f>
        <v>329000</v>
      </c>
      <c r="I371" s="128">
        <f t="shared" si="27"/>
        <v>100</v>
      </c>
    </row>
    <row r="372" spans="1:9" s="115" customFormat="1" x14ac:dyDescent="0.2">
      <c r="A372" s="112" t="s">
        <v>85</v>
      </c>
      <c r="B372" s="113" t="s">
        <v>165</v>
      </c>
      <c r="C372" s="113" t="s">
        <v>78</v>
      </c>
      <c r="D372" s="113" t="s">
        <v>470</v>
      </c>
      <c r="E372" s="113" t="s">
        <v>573</v>
      </c>
      <c r="F372" s="113" t="s">
        <v>86</v>
      </c>
      <c r="G372" s="128">
        <v>329000</v>
      </c>
      <c r="H372" s="128">
        <v>329000</v>
      </c>
      <c r="I372" s="128">
        <f t="shared" si="27"/>
        <v>100</v>
      </c>
    </row>
    <row r="373" spans="1:9" s="115" customFormat="1" ht="24" x14ac:dyDescent="0.2">
      <c r="A373" s="112" t="s">
        <v>417</v>
      </c>
      <c r="B373" s="113" t="s">
        <v>165</v>
      </c>
      <c r="C373" s="113" t="s">
        <v>78</v>
      </c>
      <c r="D373" s="113" t="s">
        <v>470</v>
      </c>
      <c r="E373" s="113" t="s">
        <v>573</v>
      </c>
      <c r="F373" s="113" t="s">
        <v>418</v>
      </c>
      <c r="G373" s="128">
        <f>G374</f>
        <v>71000</v>
      </c>
      <c r="H373" s="128">
        <f>H374</f>
        <v>71000</v>
      </c>
      <c r="I373" s="128">
        <f t="shared" si="27"/>
        <v>100</v>
      </c>
    </row>
    <row r="374" spans="1:9" s="115" customFormat="1" x14ac:dyDescent="0.2">
      <c r="A374" s="112" t="s">
        <v>419</v>
      </c>
      <c r="B374" s="113" t="s">
        <v>165</v>
      </c>
      <c r="C374" s="113" t="s">
        <v>78</v>
      </c>
      <c r="D374" s="113" t="s">
        <v>470</v>
      </c>
      <c r="E374" s="113" t="s">
        <v>573</v>
      </c>
      <c r="F374" s="113" t="s">
        <v>420</v>
      </c>
      <c r="G374" s="128">
        <v>71000</v>
      </c>
      <c r="H374" s="128">
        <v>71000</v>
      </c>
      <c r="I374" s="128">
        <f t="shared" si="27"/>
        <v>100</v>
      </c>
    </row>
    <row r="375" spans="1:9" s="115" customFormat="1" ht="24" x14ac:dyDescent="0.2">
      <c r="A375" s="103" t="s">
        <v>574</v>
      </c>
      <c r="B375" s="104" t="s">
        <v>165</v>
      </c>
      <c r="C375" s="104" t="s">
        <v>572</v>
      </c>
      <c r="D375" s="104" t="s">
        <v>470</v>
      </c>
      <c r="E375" s="104" t="s">
        <v>575</v>
      </c>
      <c r="F375" s="104"/>
      <c r="G375" s="127">
        <f>G376+G378</f>
        <v>128441.803</v>
      </c>
      <c r="H375" s="127">
        <f>H376+H378</f>
        <v>115894.07799999999</v>
      </c>
      <c r="I375" s="127">
        <f t="shared" si="27"/>
        <v>90.230809045868028</v>
      </c>
    </row>
    <row r="376" spans="1:9" s="115" customFormat="1" x14ac:dyDescent="0.2">
      <c r="A376" s="112" t="s">
        <v>582</v>
      </c>
      <c r="B376" s="113" t="s">
        <v>165</v>
      </c>
      <c r="C376" s="113" t="s">
        <v>78</v>
      </c>
      <c r="D376" s="113" t="s">
        <v>470</v>
      </c>
      <c r="E376" s="113" t="s">
        <v>575</v>
      </c>
      <c r="F376" s="113" t="s">
        <v>84</v>
      </c>
      <c r="G376" s="128">
        <f>G377</f>
        <v>119636.352</v>
      </c>
      <c r="H376" s="128">
        <f>H377</f>
        <v>107088.62699999999</v>
      </c>
      <c r="I376" s="128">
        <f t="shared" si="27"/>
        <v>89.511778995066649</v>
      </c>
    </row>
    <row r="377" spans="1:9" s="115" customFormat="1" x14ac:dyDescent="0.2">
      <c r="A377" s="112" t="s">
        <v>85</v>
      </c>
      <c r="B377" s="113" t="s">
        <v>165</v>
      </c>
      <c r="C377" s="113" t="s">
        <v>78</v>
      </c>
      <c r="D377" s="113" t="s">
        <v>470</v>
      </c>
      <c r="E377" s="113" t="s">
        <v>575</v>
      </c>
      <c r="F377" s="113" t="s">
        <v>86</v>
      </c>
      <c r="G377" s="128">
        <f>91437.55+28526.696-327.894</f>
        <v>119636.352</v>
      </c>
      <c r="H377" s="128">
        <v>107088.62699999999</v>
      </c>
      <c r="I377" s="128">
        <f t="shared" si="27"/>
        <v>89.511778995066649</v>
      </c>
    </row>
    <row r="378" spans="1:9" s="115" customFormat="1" ht="24" x14ac:dyDescent="0.2">
      <c r="A378" s="112" t="s">
        <v>417</v>
      </c>
      <c r="B378" s="113" t="s">
        <v>165</v>
      </c>
      <c r="C378" s="113" t="s">
        <v>78</v>
      </c>
      <c r="D378" s="113" t="s">
        <v>470</v>
      </c>
      <c r="E378" s="113" t="s">
        <v>575</v>
      </c>
      <c r="F378" s="113" t="s">
        <v>418</v>
      </c>
      <c r="G378" s="128">
        <f>G379</f>
        <v>8805.4509999999991</v>
      </c>
      <c r="H378" s="128">
        <f>H379</f>
        <v>8805.4509999999991</v>
      </c>
      <c r="I378" s="128">
        <f t="shared" si="27"/>
        <v>100</v>
      </c>
    </row>
    <row r="379" spans="1:9" s="115" customFormat="1" x14ac:dyDescent="0.2">
      <c r="A379" s="112" t="s">
        <v>419</v>
      </c>
      <c r="B379" s="113" t="s">
        <v>165</v>
      </c>
      <c r="C379" s="113" t="s">
        <v>78</v>
      </c>
      <c r="D379" s="113" t="s">
        <v>470</v>
      </c>
      <c r="E379" s="113" t="s">
        <v>575</v>
      </c>
      <c r="F379" s="113" t="s">
        <v>420</v>
      </c>
      <c r="G379" s="128">
        <v>8805.4509999999991</v>
      </c>
      <c r="H379" s="128">
        <v>8805.4509999999991</v>
      </c>
      <c r="I379" s="128">
        <f t="shared" si="27"/>
        <v>100</v>
      </c>
    </row>
    <row r="380" spans="1:9" s="115" customFormat="1" x14ac:dyDescent="0.2">
      <c r="A380" s="117" t="s">
        <v>440</v>
      </c>
      <c r="B380" s="118" t="s">
        <v>165</v>
      </c>
      <c r="C380" s="118" t="s">
        <v>78</v>
      </c>
      <c r="D380" s="118" t="s">
        <v>470</v>
      </c>
      <c r="E380" s="118" t="s">
        <v>322</v>
      </c>
      <c r="F380" s="118"/>
      <c r="G380" s="119">
        <f>G381+G389</f>
        <v>40109.300000000003</v>
      </c>
      <c r="H380" s="119">
        <f>H381+H389</f>
        <v>39669.487959999999</v>
      </c>
      <c r="I380" s="129">
        <f t="shared" si="27"/>
        <v>98.903466178666775</v>
      </c>
    </row>
    <row r="381" spans="1:9" s="115" customFormat="1" x14ac:dyDescent="0.2">
      <c r="A381" s="152" t="s">
        <v>328</v>
      </c>
      <c r="B381" s="132" t="s">
        <v>165</v>
      </c>
      <c r="C381" s="132" t="s">
        <v>78</v>
      </c>
      <c r="D381" s="132" t="s">
        <v>470</v>
      </c>
      <c r="E381" s="153" t="s">
        <v>585</v>
      </c>
      <c r="F381" s="132"/>
      <c r="G381" s="137">
        <f>G382</f>
        <v>4425</v>
      </c>
      <c r="H381" s="137">
        <f>H382</f>
        <v>4101.5959199999998</v>
      </c>
      <c r="I381" s="204">
        <f t="shared" si="27"/>
        <v>92.691433220338979</v>
      </c>
    </row>
    <row r="382" spans="1:9" s="115" customFormat="1" x14ac:dyDescent="0.2">
      <c r="A382" s="103" t="s">
        <v>471</v>
      </c>
      <c r="B382" s="104" t="s">
        <v>165</v>
      </c>
      <c r="C382" s="104" t="s">
        <v>78</v>
      </c>
      <c r="D382" s="104" t="s">
        <v>470</v>
      </c>
      <c r="E382" s="104" t="s">
        <v>585</v>
      </c>
      <c r="F382" s="104"/>
      <c r="G382" s="105">
        <f>G383+G385+G387</f>
        <v>4425</v>
      </c>
      <c r="H382" s="105">
        <f>H383+H385+H387</f>
        <v>4101.5959199999998</v>
      </c>
      <c r="I382" s="127">
        <f t="shared" si="27"/>
        <v>92.691433220338979</v>
      </c>
    </row>
    <row r="383" spans="1:9" s="115" customFormat="1" ht="36" x14ac:dyDescent="0.2">
      <c r="A383" s="112" t="s">
        <v>79</v>
      </c>
      <c r="B383" s="113" t="s">
        <v>165</v>
      </c>
      <c r="C383" s="113" t="s">
        <v>78</v>
      </c>
      <c r="D383" s="113" t="s">
        <v>470</v>
      </c>
      <c r="E383" s="113" t="s">
        <v>585</v>
      </c>
      <c r="F383" s="113" t="s">
        <v>80</v>
      </c>
      <c r="G383" s="114">
        <f>G384</f>
        <v>3825</v>
      </c>
      <c r="H383" s="114">
        <f>H384</f>
        <v>3537.1462700000002</v>
      </c>
      <c r="I383" s="128">
        <f t="shared" si="27"/>
        <v>92.474412287581714</v>
      </c>
    </row>
    <row r="384" spans="1:9" s="115" customFormat="1" x14ac:dyDescent="0.2">
      <c r="A384" s="112" t="s">
        <v>472</v>
      </c>
      <c r="B384" s="113" t="s">
        <v>165</v>
      </c>
      <c r="C384" s="113" t="s">
        <v>78</v>
      </c>
      <c r="D384" s="113" t="s">
        <v>470</v>
      </c>
      <c r="E384" s="113" t="s">
        <v>585</v>
      </c>
      <c r="F384" s="113" t="s">
        <v>473</v>
      </c>
      <c r="G384" s="114">
        <f>2990+900-65</f>
        <v>3825</v>
      </c>
      <c r="H384" s="114">
        <v>3537.1462700000002</v>
      </c>
      <c r="I384" s="128">
        <f t="shared" si="27"/>
        <v>92.474412287581714</v>
      </c>
    </row>
    <row r="385" spans="1:9" s="115" customFormat="1" x14ac:dyDescent="0.2">
      <c r="A385" s="112" t="s">
        <v>582</v>
      </c>
      <c r="B385" s="113" t="s">
        <v>165</v>
      </c>
      <c r="C385" s="113" t="s">
        <v>78</v>
      </c>
      <c r="D385" s="113" t="s">
        <v>470</v>
      </c>
      <c r="E385" s="113" t="s">
        <v>585</v>
      </c>
      <c r="F385" s="113" t="s">
        <v>84</v>
      </c>
      <c r="G385" s="114">
        <f>G386</f>
        <v>405.58100000000002</v>
      </c>
      <c r="H385" s="114">
        <f>H386</f>
        <v>403.59253000000001</v>
      </c>
      <c r="I385" s="128">
        <f t="shared" si="27"/>
        <v>99.509723088606222</v>
      </c>
    </row>
    <row r="386" spans="1:9" s="115" customFormat="1" x14ac:dyDescent="0.2">
      <c r="A386" s="112" t="s">
        <v>85</v>
      </c>
      <c r="B386" s="113" t="s">
        <v>165</v>
      </c>
      <c r="C386" s="113" t="s">
        <v>78</v>
      </c>
      <c r="D386" s="113" t="s">
        <v>470</v>
      </c>
      <c r="E386" s="113" t="s">
        <v>585</v>
      </c>
      <c r="F386" s="113" t="s">
        <v>86</v>
      </c>
      <c r="G386" s="114">
        <f>99+104.5+91.2-29.119+65+75</f>
        <v>405.58100000000002</v>
      </c>
      <c r="H386" s="114">
        <v>403.59253000000001</v>
      </c>
      <c r="I386" s="128">
        <f t="shared" si="27"/>
        <v>99.509723088606222</v>
      </c>
    </row>
    <row r="387" spans="1:9" s="115" customFormat="1" x14ac:dyDescent="0.2">
      <c r="A387" s="112" t="s">
        <v>87</v>
      </c>
      <c r="B387" s="113" t="s">
        <v>165</v>
      </c>
      <c r="C387" s="113" t="s">
        <v>78</v>
      </c>
      <c r="D387" s="113" t="s">
        <v>470</v>
      </c>
      <c r="E387" s="113" t="s">
        <v>585</v>
      </c>
      <c r="F387" s="113" t="s">
        <v>88</v>
      </c>
      <c r="G387" s="114">
        <f>G388</f>
        <v>194.41900000000001</v>
      </c>
      <c r="H387" s="114">
        <f>H388</f>
        <v>160.85712000000001</v>
      </c>
      <c r="I387" s="128">
        <f t="shared" si="27"/>
        <v>82.737345629799549</v>
      </c>
    </row>
    <row r="388" spans="1:9" s="115" customFormat="1" x14ac:dyDescent="0.2">
      <c r="A388" s="112" t="s">
        <v>154</v>
      </c>
      <c r="B388" s="113" t="s">
        <v>165</v>
      </c>
      <c r="C388" s="113" t="s">
        <v>78</v>
      </c>
      <c r="D388" s="113" t="s">
        <v>470</v>
      </c>
      <c r="E388" s="113" t="s">
        <v>585</v>
      </c>
      <c r="F388" s="113" t="s">
        <v>89</v>
      </c>
      <c r="G388" s="114">
        <f>165.3+29.119</f>
        <v>194.41900000000001</v>
      </c>
      <c r="H388" s="114">
        <v>160.85712000000001</v>
      </c>
      <c r="I388" s="128">
        <f t="shared" si="27"/>
        <v>82.737345629799549</v>
      </c>
    </row>
    <row r="389" spans="1:9" s="115" customFormat="1" x14ac:dyDescent="0.2">
      <c r="A389" s="121" t="s">
        <v>329</v>
      </c>
      <c r="B389" s="118" t="s">
        <v>165</v>
      </c>
      <c r="C389" s="118" t="s">
        <v>78</v>
      </c>
      <c r="D389" s="118" t="s">
        <v>470</v>
      </c>
      <c r="E389" s="122" t="s">
        <v>586</v>
      </c>
      <c r="F389" s="118"/>
      <c r="G389" s="119">
        <f>G390</f>
        <v>35684.300000000003</v>
      </c>
      <c r="H389" s="119">
        <f>H390</f>
        <v>35567.892039999999</v>
      </c>
      <c r="I389" s="128">
        <f t="shared" si="27"/>
        <v>99.673783820896006</v>
      </c>
    </row>
    <row r="390" spans="1:9" s="115" customFormat="1" ht="24" x14ac:dyDescent="0.2">
      <c r="A390" s="112" t="s">
        <v>104</v>
      </c>
      <c r="B390" s="113" t="s">
        <v>165</v>
      </c>
      <c r="C390" s="113" t="s">
        <v>78</v>
      </c>
      <c r="D390" s="113" t="s">
        <v>470</v>
      </c>
      <c r="E390" s="113" t="s">
        <v>586</v>
      </c>
      <c r="F390" s="113" t="s">
        <v>391</v>
      </c>
      <c r="G390" s="114">
        <f>G391</f>
        <v>35684.300000000003</v>
      </c>
      <c r="H390" s="114">
        <f>H391</f>
        <v>35567.892039999999</v>
      </c>
      <c r="I390" s="128">
        <f t="shared" si="27"/>
        <v>99.673783820896006</v>
      </c>
    </row>
    <row r="391" spans="1:9" s="115" customFormat="1" x14ac:dyDescent="0.2">
      <c r="A391" s="112" t="s">
        <v>105</v>
      </c>
      <c r="B391" s="113" t="s">
        <v>165</v>
      </c>
      <c r="C391" s="113" t="s">
        <v>78</v>
      </c>
      <c r="D391" s="113" t="s">
        <v>470</v>
      </c>
      <c r="E391" s="113" t="s">
        <v>586</v>
      </c>
      <c r="F391" s="113" t="s">
        <v>409</v>
      </c>
      <c r="G391" s="114">
        <f>13684.3+10000+1000+11000</f>
        <v>35684.300000000003</v>
      </c>
      <c r="H391" s="114">
        <v>35567.892039999999</v>
      </c>
      <c r="I391" s="128">
        <f t="shared" si="27"/>
        <v>99.673783820896006</v>
      </c>
    </row>
    <row r="392" spans="1:9" s="115" customFormat="1" ht="31.5" x14ac:dyDescent="0.2">
      <c r="A392" s="106" t="s">
        <v>396</v>
      </c>
      <c r="B392" s="109" t="s">
        <v>392</v>
      </c>
      <c r="C392" s="110"/>
      <c r="D392" s="110"/>
      <c r="E392" s="110"/>
      <c r="F392" s="110"/>
      <c r="G392" s="111">
        <f>G393+G410</f>
        <v>203016.07270000002</v>
      </c>
      <c r="H392" s="111">
        <f>H393+H410</f>
        <v>199184.03718000001</v>
      </c>
      <c r="I392" s="198">
        <f t="shared" si="27"/>
        <v>98.112447222017408</v>
      </c>
    </row>
    <row r="393" spans="1:9" s="115" customFormat="1" x14ac:dyDescent="0.2">
      <c r="A393" s="103" t="s">
        <v>364</v>
      </c>
      <c r="B393" s="104">
        <v>603</v>
      </c>
      <c r="C393" s="104" t="s">
        <v>476</v>
      </c>
      <c r="D393" s="104" t="s">
        <v>77</v>
      </c>
      <c r="E393" s="104"/>
      <c r="F393" s="104"/>
      <c r="G393" s="105">
        <f>G395+G401</f>
        <v>85091</v>
      </c>
      <c r="H393" s="105">
        <f>H395+H401</f>
        <v>84079.490340000004</v>
      </c>
      <c r="I393" s="127">
        <f t="shared" si="27"/>
        <v>98.811261284977263</v>
      </c>
    </row>
    <row r="394" spans="1:9" s="115" customFormat="1" x14ac:dyDescent="0.2">
      <c r="A394" s="103" t="s">
        <v>271</v>
      </c>
      <c r="B394" s="104">
        <v>603</v>
      </c>
      <c r="C394" s="104" t="s">
        <v>476</v>
      </c>
      <c r="D394" s="104" t="s">
        <v>469</v>
      </c>
      <c r="E394" s="104"/>
      <c r="F394" s="104"/>
      <c r="G394" s="105">
        <f t="shared" ref="G394:H399" si="31">G395</f>
        <v>83711.8</v>
      </c>
      <c r="H394" s="105">
        <f t="shared" si="31"/>
        <v>82825.290340000007</v>
      </c>
      <c r="I394" s="127">
        <f t="shared" si="27"/>
        <v>98.940997971612134</v>
      </c>
    </row>
    <row r="395" spans="1:9" s="115" customFormat="1" ht="27" x14ac:dyDescent="0.2">
      <c r="A395" s="116" t="s">
        <v>587</v>
      </c>
      <c r="B395" s="107" t="s">
        <v>392</v>
      </c>
      <c r="C395" s="107" t="s">
        <v>476</v>
      </c>
      <c r="D395" s="107" t="s">
        <v>469</v>
      </c>
      <c r="E395" s="107" t="s">
        <v>251</v>
      </c>
      <c r="F395" s="107"/>
      <c r="G395" s="108">
        <f t="shared" si="31"/>
        <v>83711.8</v>
      </c>
      <c r="H395" s="108">
        <f t="shared" si="31"/>
        <v>82825.290340000007</v>
      </c>
      <c r="I395" s="155">
        <f t="shared" si="27"/>
        <v>98.940997971612134</v>
      </c>
    </row>
    <row r="396" spans="1:9" s="115" customFormat="1" ht="24" x14ac:dyDescent="0.2">
      <c r="A396" s="103" t="s">
        <v>351</v>
      </c>
      <c r="B396" s="104" t="s">
        <v>392</v>
      </c>
      <c r="C396" s="104" t="s">
        <v>476</v>
      </c>
      <c r="D396" s="104" t="s">
        <v>469</v>
      </c>
      <c r="E396" s="104" t="s">
        <v>252</v>
      </c>
      <c r="F396" s="104"/>
      <c r="G396" s="105">
        <f t="shared" si="31"/>
        <v>83711.8</v>
      </c>
      <c r="H396" s="105">
        <f t="shared" si="31"/>
        <v>82825.290340000007</v>
      </c>
      <c r="I396" s="127">
        <f t="shared" si="27"/>
        <v>98.940997971612134</v>
      </c>
    </row>
    <row r="397" spans="1:9" s="115" customFormat="1" ht="24" x14ac:dyDescent="0.2">
      <c r="A397" s="103" t="s">
        <v>589</v>
      </c>
      <c r="B397" s="104" t="s">
        <v>392</v>
      </c>
      <c r="C397" s="104" t="s">
        <v>476</v>
      </c>
      <c r="D397" s="104" t="s">
        <v>469</v>
      </c>
      <c r="E397" s="104" t="s">
        <v>590</v>
      </c>
      <c r="F397" s="104"/>
      <c r="G397" s="105">
        <f t="shared" si="31"/>
        <v>83711.8</v>
      </c>
      <c r="H397" s="105">
        <f t="shared" si="31"/>
        <v>82825.290340000007</v>
      </c>
      <c r="I397" s="127">
        <f t="shared" ref="I397:I462" si="32">H397/G397*100</f>
        <v>98.940997971612134</v>
      </c>
    </row>
    <row r="398" spans="1:9" s="115" customFormat="1" ht="24" x14ac:dyDescent="0.2">
      <c r="A398" s="136" t="s">
        <v>302</v>
      </c>
      <c r="B398" s="132" t="s">
        <v>392</v>
      </c>
      <c r="C398" s="132" t="s">
        <v>476</v>
      </c>
      <c r="D398" s="132" t="s">
        <v>469</v>
      </c>
      <c r="E398" s="132" t="s">
        <v>590</v>
      </c>
      <c r="F398" s="132"/>
      <c r="G398" s="137">
        <f t="shared" si="31"/>
        <v>83711.8</v>
      </c>
      <c r="H398" s="137">
        <f t="shared" si="31"/>
        <v>82825.290340000007</v>
      </c>
      <c r="I398" s="204">
        <f t="shared" si="32"/>
        <v>98.940997971612134</v>
      </c>
    </row>
    <row r="399" spans="1:9" s="115" customFormat="1" ht="24" x14ac:dyDescent="0.2">
      <c r="A399" s="112" t="s">
        <v>104</v>
      </c>
      <c r="B399" s="113" t="s">
        <v>392</v>
      </c>
      <c r="C399" s="113" t="s">
        <v>476</v>
      </c>
      <c r="D399" s="113" t="s">
        <v>469</v>
      </c>
      <c r="E399" s="113" t="s">
        <v>590</v>
      </c>
      <c r="F399" s="113" t="s">
        <v>391</v>
      </c>
      <c r="G399" s="114">
        <f t="shared" si="31"/>
        <v>83711.8</v>
      </c>
      <c r="H399" s="114">
        <f t="shared" si="31"/>
        <v>82825.290340000007</v>
      </c>
      <c r="I399" s="128">
        <f t="shared" si="32"/>
        <v>98.940997971612134</v>
      </c>
    </row>
    <row r="400" spans="1:9" s="115" customFormat="1" x14ac:dyDescent="0.2">
      <c r="A400" s="112" t="s">
        <v>105</v>
      </c>
      <c r="B400" s="113" t="s">
        <v>392</v>
      </c>
      <c r="C400" s="113" t="s">
        <v>476</v>
      </c>
      <c r="D400" s="113" t="s">
        <v>469</v>
      </c>
      <c r="E400" s="113" t="s">
        <v>590</v>
      </c>
      <c r="F400" s="113" t="s">
        <v>409</v>
      </c>
      <c r="G400" s="114">
        <f>90628.6-6916.8</f>
        <v>83711.8</v>
      </c>
      <c r="H400" s="114">
        <v>82825.290340000007</v>
      </c>
      <c r="I400" s="128">
        <f t="shared" si="32"/>
        <v>98.940997971612134</v>
      </c>
    </row>
    <row r="401" spans="1:9" s="115" customFormat="1" x14ac:dyDescent="0.2">
      <c r="A401" s="103" t="s">
        <v>367</v>
      </c>
      <c r="B401" s="104" t="s">
        <v>392</v>
      </c>
      <c r="C401" s="104" t="s">
        <v>476</v>
      </c>
      <c r="D401" s="104" t="s">
        <v>476</v>
      </c>
      <c r="E401" s="104"/>
      <c r="F401" s="104"/>
      <c r="G401" s="105">
        <f>G402</f>
        <v>1379.2</v>
      </c>
      <c r="H401" s="105">
        <f>H402</f>
        <v>1254.2</v>
      </c>
      <c r="I401" s="127">
        <f t="shared" si="32"/>
        <v>90.936774941995353</v>
      </c>
    </row>
    <row r="402" spans="1:9" s="115" customFormat="1" ht="27" x14ac:dyDescent="0.2">
      <c r="A402" s="116" t="s">
        <v>587</v>
      </c>
      <c r="B402" s="107" t="s">
        <v>392</v>
      </c>
      <c r="C402" s="107" t="s">
        <v>476</v>
      </c>
      <c r="D402" s="107" t="s">
        <v>476</v>
      </c>
      <c r="E402" s="107" t="s">
        <v>251</v>
      </c>
      <c r="F402" s="107"/>
      <c r="G402" s="108">
        <f>G403</f>
        <v>1379.2</v>
      </c>
      <c r="H402" s="108">
        <f>H403</f>
        <v>1254.2</v>
      </c>
      <c r="I402" s="155">
        <f t="shared" si="32"/>
        <v>90.936774941995353</v>
      </c>
    </row>
    <row r="403" spans="1:9" s="115" customFormat="1" ht="27" x14ac:dyDescent="0.2">
      <c r="A403" s="116" t="s">
        <v>350</v>
      </c>
      <c r="B403" s="107">
        <v>603</v>
      </c>
      <c r="C403" s="107" t="s">
        <v>476</v>
      </c>
      <c r="D403" s="107" t="s">
        <v>476</v>
      </c>
      <c r="E403" s="107" t="s">
        <v>257</v>
      </c>
      <c r="F403" s="107"/>
      <c r="G403" s="108">
        <f>G404+G407</f>
        <v>1379.2</v>
      </c>
      <c r="H403" s="108">
        <f>H404+H407</f>
        <v>1254.2</v>
      </c>
      <c r="I403" s="155">
        <f t="shared" si="32"/>
        <v>90.936774941995353</v>
      </c>
    </row>
    <row r="404" spans="1:9" s="115" customFormat="1" x14ac:dyDescent="0.2">
      <c r="A404" s="134" t="s">
        <v>258</v>
      </c>
      <c r="B404" s="104">
        <v>603</v>
      </c>
      <c r="C404" s="104" t="s">
        <v>476</v>
      </c>
      <c r="D404" s="104" t="s">
        <v>476</v>
      </c>
      <c r="E404" s="104" t="s">
        <v>591</v>
      </c>
      <c r="F404" s="104"/>
      <c r="G404" s="105">
        <f>G405</f>
        <v>879.2</v>
      </c>
      <c r="H404" s="105">
        <f>H405</f>
        <v>879.2</v>
      </c>
      <c r="I404" s="127">
        <f t="shared" si="32"/>
        <v>100</v>
      </c>
    </row>
    <row r="405" spans="1:9" s="115" customFormat="1" x14ac:dyDescent="0.2">
      <c r="A405" s="112" t="s">
        <v>582</v>
      </c>
      <c r="B405" s="113" t="s">
        <v>392</v>
      </c>
      <c r="C405" s="113" t="s">
        <v>476</v>
      </c>
      <c r="D405" s="113" t="s">
        <v>476</v>
      </c>
      <c r="E405" s="113" t="s">
        <v>591</v>
      </c>
      <c r="F405" s="113" t="s">
        <v>84</v>
      </c>
      <c r="G405" s="114">
        <f>G406</f>
        <v>879.2</v>
      </c>
      <c r="H405" s="114">
        <f>H406</f>
        <v>879.2</v>
      </c>
      <c r="I405" s="128">
        <f t="shared" si="32"/>
        <v>100</v>
      </c>
    </row>
    <row r="406" spans="1:9" s="115" customFormat="1" x14ac:dyDescent="0.2">
      <c r="A406" s="112" t="s">
        <v>85</v>
      </c>
      <c r="B406" s="113" t="s">
        <v>392</v>
      </c>
      <c r="C406" s="113" t="s">
        <v>476</v>
      </c>
      <c r="D406" s="113" t="s">
        <v>476</v>
      </c>
      <c r="E406" s="113" t="s">
        <v>591</v>
      </c>
      <c r="F406" s="113" t="s">
        <v>86</v>
      </c>
      <c r="G406" s="114">
        <f>5650-4620-100-50.8</f>
        <v>879.2</v>
      </c>
      <c r="H406" s="114">
        <v>879.2</v>
      </c>
      <c r="I406" s="128">
        <f t="shared" si="32"/>
        <v>100</v>
      </c>
    </row>
    <row r="407" spans="1:9" s="115" customFormat="1" ht="24" x14ac:dyDescent="0.2">
      <c r="A407" s="103" t="s">
        <v>65</v>
      </c>
      <c r="B407" s="104" t="s">
        <v>392</v>
      </c>
      <c r="C407" s="104" t="s">
        <v>476</v>
      </c>
      <c r="D407" s="104" t="s">
        <v>476</v>
      </c>
      <c r="E407" s="104" t="s">
        <v>592</v>
      </c>
      <c r="F407" s="104"/>
      <c r="G407" s="105">
        <f>G408</f>
        <v>500</v>
      </c>
      <c r="H407" s="105">
        <f>H408</f>
        <v>375</v>
      </c>
      <c r="I407" s="127">
        <f t="shared" si="32"/>
        <v>75</v>
      </c>
    </row>
    <row r="408" spans="1:9" s="115" customFormat="1" ht="36" x14ac:dyDescent="0.2">
      <c r="A408" s="112" t="s">
        <v>593</v>
      </c>
      <c r="B408" s="113" t="s">
        <v>392</v>
      </c>
      <c r="C408" s="113" t="s">
        <v>476</v>
      </c>
      <c r="D408" s="113" t="s">
        <v>476</v>
      </c>
      <c r="E408" s="113" t="s">
        <v>592</v>
      </c>
      <c r="F408" s="113" t="s">
        <v>391</v>
      </c>
      <c r="G408" s="114">
        <f>G409</f>
        <v>500</v>
      </c>
      <c r="H408" s="114">
        <f>H409</f>
        <v>375</v>
      </c>
      <c r="I408" s="128">
        <f t="shared" si="32"/>
        <v>75</v>
      </c>
    </row>
    <row r="409" spans="1:9" s="115" customFormat="1" ht="24" x14ac:dyDescent="0.2">
      <c r="A409" s="197" t="s">
        <v>594</v>
      </c>
      <c r="B409" s="113" t="s">
        <v>392</v>
      </c>
      <c r="C409" s="113" t="s">
        <v>476</v>
      </c>
      <c r="D409" s="113" t="s">
        <v>476</v>
      </c>
      <c r="E409" s="113" t="s">
        <v>592</v>
      </c>
      <c r="F409" s="113" t="s">
        <v>448</v>
      </c>
      <c r="G409" s="114">
        <v>500</v>
      </c>
      <c r="H409" s="114">
        <v>375</v>
      </c>
      <c r="I409" s="128">
        <f t="shared" si="32"/>
        <v>75</v>
      </c>
    </row>
    <row r="410" spans="1:9" s="115" customFormat="1" x14ac:dyDescent="0.2">
      <c r="A410" s="103" t="s">
        <v>379</v>
      </c>
      <c r="B410" s="104">
        <v>603</v>
      </c>
      <c r="C410" s="104" t="s">
        <v>474</v>
      </c>
      <c r="D410" s="104" t="s">
        <v>77</v>
      </c>
      <c r="E410" s="104"/>
      <c r="F410" s="104"/>
      <c r="G410" s="105">
        <f>G411+G431</f>
        <v>117925.0727</v>
      </c>
      <c r="H410" s="105">
        <f>H411+H431</f>
        <v>115104.54684000001</v>
      </c>
      <c r="I410" s="127">
        <f t="shared" si="32"/>
        <v>97.608205112431534</v>
      </c>
    </row>
    <row r="411" spans="1:9" s="115" customFormat="1" x14ac:dyDescent="0.2">
      <c r="A411" s="103" t="s">
        <v>369</v>
      </c>
      <c r="B411" s="104">
        <v>603</v>
      </c>
      <c r="C411" s="104" t="s">
        <v>474</v>
      </c>
      <c r="D411" s="104" t="s">
        <v>76</v>
      </c>
      <c r="E411" s="104"/>
      <c r="F411" s="104"/>
      <c r="G411" s="105">
        <f>G412</f>
        <v>95770.68247</v>
      </c>
      <c r="H411" s="105">
        <f>H412</f>
        <v>93373.47183000001</v>
      </c>
      <c r="I411" s="127">
        <f t="shared" si="32"/>
        <v>97.496926430746782</v>
      </c>
    </row>
    <row r="412" spans="1:9" s="115" customFormat="1" ht="27" x14ac:dyDescent="0.2">
      <c r="A412" s="116" t="s">
        <v>587</v>
      </c>
      <c r="B412" s="107" t="s">
        <v>392</v>
      </c>
      <c r="C412" s="107" t="s">
        <v>474</v>
      </c>
      <c r="D412" s="107" t="s">
        <v>76</v>
      </c>
      <c r="E412" s="107" t="s">
        <v>251</v>
      </c>
      <c r="F412" s="107"/>
      <c r="G412" s="108">
        <f>G413</f>
        <v>95770.68247</v>
      </c>
      <c r="H412" s="108">
        <f>H413</f>
        <v>93373.47183000001</v>
      </c>
      <c r="I412" s="155">
        <f t="shared" si="32"/>
        <v>97.496926430746782</v>
      </c>
    </row>
    <row r="413" spans="1:9" s="115" customFormat="1" ht="24" x14ac:dyDescent="0.2">
      <c r="A413" s="103" t="s">
        <v>351</v>
      </c>
      <c r="B413" s="104" t="s">
        <v>392</v>
      </c>
      <c r="C413" s="104" t="s">
        <v>474</v>
      </c>
      <c r="D413" s="104" t="s">
        <v>76</v>
      </c>
      <c r="E413" s="104" t="s">
        <v>252</v>
      </c>
      <c r="F413" s="104"/>
      <c r="G413" s="105">
        <f>G414+G421+G425+G428</f>
        <v>95770.68247</v>
      </c>
      <c r="H413" s="105">
        <f>H414+H421+H425+H428</f>
        <v>93373.47183000001</v>
      </c>
      <c r="I413" s="127">
        <f t="shared" si="32"/>
        <v>97.496926430746782</v>
      </c>
    </row>
    <row r="414" spans="1:9" s="115" customFormat="1" ht="24" x14ac:dyDescent="0.2">
      <c r="A414" s="103" t="s">
        <v>287</v>
      </c>
      <c r="B414" s="104" t="s">
        <v>392</v>
      </c>
      <c r="C414" s="104" t="s">
        <v>474</v>
      </c>
      <c r="D414" s="104" t="s">
        <v>76</v>
      </c>
      <c r="E414" s="104" t="s">
        <v>259</v>
      </c>
      <c r="F414" s="104"/>
      <c r="G414" s="105">
        <f>G415+G418</f>
        <v>65114.59</v>
      </c>
      <c r="H414" s="105">
        <f>H415+H418</f>
        <v>64858.478539999996</v>
      </c>
      <c r="I414" s="127">
        <f t="shared" si="32"/>
        <v>99.606675769593267</v>
      </c>
    </row>
    <row r="415" spans="1:9" s="115" customFormat="1" x14ac:dyDescent="0.2">
      <c r="A415" s="136" t="s">
        <v>415</v>
      </c>
      <c r="B415" s="132">
        <v>603</v>
      </c>
      <c r="C415" s="132" t="s">
        <v>474</v>
      </c>
      <c r="D415" s="132" t="s">
        <v>76</v>
      </c>
      <c r="E415" s="132" t="s">
        <v>595</v>
      </c>
      <c r="F415" s="132"/>
      <c r="G415" s="137">
        <f>G416</f>
        <v>25111.59</v>
      </c>
      <c r="H415" s="137">
        <f>H416</f>
        <v>24855.47854</v>
      </c>
      <c r="I415" s="204">
        <f t="shared" si="32"/>
        <v>98.980106556374963</v>
      </c>
    </row>
    <row r="416" spans="1:9" s="115" customFormat="1" ht="24" x14ac:dyDescent="0.2">
      <c r="A416" s="112" t="s">
        <v>104</v>
      </c>
      <c r="B416" s="113">
        <v>603</v>
      </c>
      <c r="C416" s="113" t="s">
        <v>474</v>
      </c>
      <c r="D416" s="113" t="s">
        <v>76</v>
      </c>
      <c r="E416" s="113" t="s">
        <v>595</v>
      </c>
      <c r="F416" s="113" t="s">
        <v>391</v>
      </c>
      <c r="G416" s="114">
        <f>G417</f>
        <v>25111.59</v>
      </c>
      <c r="H416" s="114">
        <f>H417</f>
        <v>24855.47854</v>
      </c>
      <c r="I416" s="128">
        <f t="shared" si="32"/>
        <v>98.980106556374963</v>
      </c>
    </row>
    <row r="417" spans="1:9" s="115" customFormat="1" x14ac:dyDescent="0.2">
      <c r="A417" s="112" t="s">
        <v>105</v>
      </c>
      <c r="B417" s="113">
        <v>603</v>
      </c>
      <c r="C417" s="113" t="s">
        <v>474</v>
      </c>
      <c r="D417" s="113" t="s">
        <v>76</v>
      </c>
      <c r="E417" s="113" t="s">
        <v>595</v>
      </c>
      <c r="F417" s="113" t="s">
        <v>409</v>
      </c>
      <c r="G417" s="114">
        <f>1526.5+750+1122+8793.5+2740.79+5500+1100+163-284.2+3700</f>
        <v>25111.59</v>
      </c>
      <c r="H417" s="114">
        <v>24855.47854</v>
      </c>
      <c r="I417" s="128">
        <f t="shared" si="32"/>
        <v>98.980106556374963</v>
      </c>
    </row>
    <row r="418" spans="1:9" s="115" customFormat="1" ht="24" x14ac:dyDescent="0.2">
      <c r="A418" s="117" t="s">
        <v>28</v>
      </c>
      <c r="B418" s="118" t="s">
        <v>392</v>
      </c>
      <c r="C418" s="118" t="s">
        <v>474</v>
      </c>
      <c r="D418" s="118" t="s">
        <v>76</v>
      </c>
      <c r="E418" s="118" t="s">
        <v>260</v>
      </c>
      <c r="F418" s="118"/>
      <c r="G418" s="129">
        <f>G419</f>
        <v>40003</v>
      </c>
      <c r="H418" s="129">
        <f>H419</f>
        <v>40003</v>
      </c>
      <c r="I418" s="129">
        <f t="shared" si="32"/>
        <v>100</v>
      </c>
    </row>
    <row r="419" spans="1:9" s="115" customFormat="1" ht="24" x14ac:dyDescent="0.2">
      <c r="A419" s="112" t="s">
        <v>104</v>
      </c>
      <c r="B419" s="113">
        <v>603</v>
      </c>
      <c r="C419" s="113" t="s">
        <v>474</v>
      </c>
      <c r="D419" s="113" t="s">
        <v>76</v>
      </c>
      <c r="E419" s="113" t="s">
        <v>260</v>
      </c>
      <c r="F419" s="113" t="s">
        <v>391</v>
      </c>
      <c r="G419" s="128">
        <f>G420</f>
        <v>40003</v>
      </c>
      <c r="H419" s="128">
        <f>H420</f>
        <v>40003</v>
      </c>
      <c r="I419" s="128">
        <f t="shared" si="32"/>
        <v>100</v>
      </c>
    </row>
    <row r="420" spans="1:9" s="115" customFormat="1" x14ac:dyDescent="0.2">
      <c r="A420" s="112" t="s">
        <v>105</v>
      </c>
      <c r="B420" s="113">
        <v>603</v>
      </c>
      <c r="C420" s="113" t="s">
        <v>474</v>
      </c>
      <c r="D420" s="113" t="s">
        <v>76</v>
      </c>
      <c r="E420" s="113" t="s">
        <v>260</v>
      </c>
      <c r="F420" s="113" t="s">
        <v>409</v>
      </c>
      <c r="G420" s="128">
        <f>38369+1634</f>
        <v>40003</v>
      </c>
      <c r="H420" s="128">
        <v>40003</v>
      </c>
      <c r="I420" s="128">
        <f t="shared" si="32"/>
        <v>100</v>
      </c>
    </row>
    <row r="421" spans="1:9" s="115" customFormat="1" x14ac:dyDescent="0.2">
      <c r="A421" s="103" t="s">
        <v>596</v>
      </c>
      <c r="B421" s="104" t="s">
        <v>392</v>
      </c>
      <c r="C421" s="104" t="s">
        <v>474</v>
      </c>
      <c r="D421" s="104" t="s">
        <v>76</v>
      </c>
      <c r="E421" s="104" t="s">
        <v>261</v>
      </c>
      <c r="F421" s="104"/>
      <c r="G421" s="105">
        <f t="shared" ref="G421:H423" si="33">G422</f>
        <v>30585.199999999997</v>
      </c>
      <c r="H421" s="105">
        <f t="shared" si="33"/>
        <v>28444.10082</v>
      </c>
      <c r="I421" s="127">
        <f t="shared" si="32"/>
        <v>92.999558021526767</v>
      </c>
    </row>
    <row r="422" spans="1:9" s="115" customFormat="1" ht="24" x14ac:dyDescent="0.2">
      <c r="A422" s="136" t="s">
        <v>497</v>
      </c>
      <c r="B422" s="132" t="s">
        <v>392</v>
      </c>
      <c r="C422" s="132" t="s">
        <v>474</v>
      </c>
      <c r="D422" s="132" t="s">
        <v>76</v>
      </c>
      <c r="E422" s="132" t="s">
        <v>597</v>
      </c>
      <c r="F422" s="118"/>
      <c r="G422" s="137">
        <f t="shared" si="33"/>
        <v>30585.199999999997</v>
      </c>
      <c r="H422" s="137">
        <f t="shared" si="33"/>
        <v>28444.10082</v>
      </c>
      <c r="I422" s="204">
        <f t="shared" si="32"/>
        <v>92.999558021526767</v>
      </c>
    </row>
    <row r="423" spans="1:9" s="115" customFormat="1" ht="24" x14ac:dyDescent="0.2">
      <c r="A423" s="112" t="s">
        <v>104</v>
      </c>
      <c r="B423" s="113" t="s">
        <v>392</v>
      </c>
      <c r="C423" s="113" t="s">
        <v>474</v>
      </c>
      <c r="D423" s="113" t="s">
        <v>76</v>
      </c>
      <c r="E423" s="113" t="s">
        <v>597</v>
      </c>
      <c r="F423" s="113" t="s">
        <v>391</v>
      </c>
      <c r="G423" s="114">
        <f t="shared" si="33"/>
        <v>30585.199999999997</v>
      </c>
      <c r="H423" s="114">
        <f t="shared" si="33"/>
        <v>28444.10082</v>
      </c>
      <c r="I423" s="128">
        <f t="shared" si="32"/>
        <v>92.999558021526767</v>
      </c>
    </row>
    <row r="424" spans="1:9" s="115" customFormat="1" x14ac:dyDescent="0.2">
      <c r="A424" s="112" t="s">
        <v>105</v>
      </c>
      <c r="B424" s="113" t="s">
        <v>392</v>
      </c>
      <c r="C424" s="113" t="s">
        <v>474</v>
      </c>
      <c r="D424" s="113" t="s">
        <v>76</v>
      </c>
      <c r="E424" s="113" t="s">
        <v>597</v>
      </c>
      <c r="F424" s="113" t="s">
        <v>409</v>
      </c>
      <c r="G424" s="114">
        <f>39896.2-1-1100-8210</f>
        <v>30585.199999999997</v>
      </c>
      <c r="H424" s="114">
        <v>28444.10082</v>
      </c>
      <c r="I424" s="128">
        <f t="shared" si="32"/>
        <v>92.999558021526767</v>
      </c>
    </row>
    <row r="425" spans="1:9" s="115" customFormat="1" x14ac:dyDescent="0.2">
      <c r="A425" s="103" t="s">
        <v>708</v>
      </c>
      <c r="B425" s="104" t="s">
        <v>709</v>
      </c>
      <c r="C425" s="104" t="s">
        <v>474</v>
      </c>
      <c r="D425" s="104" t="s">
        <v>76</v>
      </c>
      <c r="E425" s="104" t="s">
        <v>710</v>
      </c>
      <c r="F425" s="104"/>
      <c r="G425" s="105">
        <f>G426</f>
        <v>69.892470000000003</v>
      </c>
      <c r="H425" s="105">
        <f>H426</f>
        <v>69.892470000000003</v>
      </c>
      <c r="I425" s="127">
        <f t="shared" si="32"/>
        <v>100</v>
      </c>
    </row>
    <row r="426" spans="1:9" s="115" customFormat="1" ht="24" x14ac:dyDescent="0.2">
      <c r="A426" s="112" t="s">
        <v>104</v>
      </c>
      <c r="B426" s="113" t="s">
        <v>709</v>
      </c>
      <c r="C426" s="113" t="s">
        <v>474</v>
      </c>
      <c r="D426" s="113" t="s">
        <v>76</v>
      </c>
      <c r="E426" s="113" t="s">
        <v>710</v>
      </c>
      <c r="F426" s="113" t="s">
        <v>391</v>
      </c>
      <c r="G426" s="114">
        <f>G427</f>
        <v>69.892470000000003</v>
      </c>
      <c r="H426" s="114">
        <f>H427</f>
        <v>69.892470000000003</v>
      </c>
      <c r="I426" s="128">
        <f t="shared" si="32"/>
        <v>100</v>
      </c>
    </row>
    <row r="427" spans="1:9" s="115" customFormat="1" x14ac:dyDescent="0.2">
      <c r="A427" s="112" t="s">
        <v>105</v>
      </c>
      <c r="B427" s="113" t="s">
        <v>709</v>
      </c>
      <c r="C427" s="113" t="s">
        <v>474</v>
      </c>
      <c r="D427" s="113" t="s">
        <v>76</v>
      </c>
      <c r="E427" s="113" t="s">
        <v>710</v>
      </c>
      <c r="F427" s="113" t="s">
        <v>409</v>
      </c>
      <c r="G427" s="114">
        <v>69.892470000000003</v>
      </c>
      <c r="H427" s="114">
        <v>69.892470000000003</v>
      </c>
      <c r="I427" s="128">
        <f t="shared" si="32"/>
        <v>100</v>
      </c>
    </row>
    <row r="428" spans="1:9" s="115" customFormat="1" x14ac:dyDescent="0.2">
      <c r="A428" s="103" t="s">
        <v>711</v>
      </c>
      <c r="B428" s="104" t="s">
        <v>709</v>
      </c>
      <c r="C428" s="104" t="s">
        <v>474</v>
      </c>
      <c r="D428" s="104" t="s">
        <v>76</v>
      </c>
      <c r="E428" s="104" t="s">
        <v>712</v>
      </c>
      <c r="F428" s="104"/>
      <c r="G428" s="105">
        <f>G429</f>
        <v>1</v>
      </c>
      <c r="H428" s="105">
        <f>H429</f>
        <v>1</v>
      </c>
      <c r="I428" s="127">
        <f t="shared" si="32"/>
        <v>100</v>
      </c>
    </row>
    <row r="429" spans="1:9" s="115" customFormat="1" ht="24" x14ac:dyDescent="0.2">
      <c r="A429" s="112" t="s">
        <v>104</v>
      </c>
      <c r="B429" s="113" t="s">
        <v>709</v>
      </c>
      <c r="C429" s="113" t="s">
        <v>474</v>
      </c>
      <c r="D429" s="113" t="s">
        <v>76</v>
      </c>
      <c r="E429" s="113" t="s">
        <v>712</v>
      </c>
      <c r="F429" s="113" t="s">
        <v>391</v>
      </c>
      <c r="G429" s="114">
        <f>G430</f>
        <v>1</v>
      </c>
      <c r="H429" s="114">
        <f>H430</f>
        <v>1</v>
      </c>
      <c r="I429" s="128">
        <f t="shared" si="32"/>
        <v>100</v>
      </c>
    </row>
    <row r="430" spans="1:9" s="115" customFormat="1" x14ac:dyDescent="0.2">
      <c r="A430" s="112" t="s">
        <v>105</v>
      </c>
      <c r="B430" s="113" t="s">
        <v>709</v>
      </c>
      <c r="C430" s="113" t="s">
        <v>474</v>
      </c>
      <c r="D430" s="113" t="s">
        <v>76</v>
      </c>
      <c r="E430" s="113" t="s">
        <v>712</v>
      </c>
      <c r="F430" s="113" t="s">
        <v>409</v>
      </c>
      <c r="G430" s="114">
        <v>1</v>
      </c>
      <c r="H430" s="114">
        <v>1</v>
      </c>
      <c r="I430" s="128">
        <f t="shared" si="32"/>
        <v>100</v>
      </c>
    </row>
    <row r="431" spans="1:9" s="115" customFormat="1" x14ac:dyDescent="0.2">
      <c r="A431" s="103" t="s">
        <v>453</v>
      </c>
      <c r="B431" s="104">
        <v>603</v>
      </c>
      <c r="C431" s="104" t="s">
        <v>474</v>
      </c>
      <c r="D431" s="104" t="s">
        <v>78</v>
      </c>
      <c r="E431" s="104"/>
      <c r="F431" s="104"/>
      <c r="G431" s="105">
        <f>G432+G457</f>
        <v>22154.390230000001</v>
      </c>
      <c r="H431" s="105">
        <f>H432+H457</f>
        <v>21731.075009999997</v>
      </c>
      <c r="I431" s="127">
        <f>H431/G431*100</f>
        <v>98.089249058063544</v>
      </c>
    </row>
    <row r="432" spans="1:9" s="115" customFormat="1" ht="27" x14ac:dyDescent="0.2">
      <c r="A432" s="116" t="s">
        <v>587</v>
      </c>
      <c r="B432" s="107">
        <v>603</v>
      </c>
      <c r="C432" s="107" t="s">
        <v>474</v>
      </c>
      <c r="D432" s="107" t="s">
        <v>78</v>
      </c>
      <c r="E432" s="107" t="s">
        <v>251</v>
      </c>
      <c r="F432" s="107"/>
      <c r="G432" s="108">
        <f>G433+G446</f>
        <v>21992.010000000002</v>
      </c>
      <c r="H432" s="108">
        <f>H433+H446</f>
        <v>21568.694779999998</v>
      </c>
      <c r="I432" s="155">
        <f t="shared" si="32"/>
        <v>98.075140835239694</v>
      </c>
    </row>
    <row r="433" spans="1:9" s="115" customFormat="1" ht="13.5" x14ac:dyDescent="0.2">
      <c r="A433" s="116" t="s">
        <v>75</v>
      </c>
      <c r="B433" s="107" t="s">
        <v>392</v>
      </c>
      <c r="C433" s="107" t="s">
        <v>474</v>
      </c>
      <c r="D433" s="107" t="s">
        <v>78</v>
      </c>
      <c r="E433" s="107" t="s">
        <v>265</v>
      </c>
      <c r="F433" s="107"/>
      <c r="G433" s="108">
        <f>G434+G437+G440+G443</f>
        <v>17967.010000000002</v>
      </c>
      <c r="H433" s="108">
        <f>H434+H437+H440+H443</f>
        <v>17692.121419999999</v>
      </c>
      <c r="I433" s="155">
        <f t="shared" si="32"/>
        <v>98.470037140292106</v>
      </c>
    </row>
    <row r="434" spans="1:9" s="115" customFormat="1" x14ac:dyDescent="0.2">
      <c r="A434" s="134" t="s">
        <v>109</v>
      </c>
      <c r="B434" s="104" t="s">
        <v>392</v>
      </c>
      <c r="C434" s="104" t="s">
        <v>474</v>
      </c>
      <c r="D434" s="104" t="s">
        <v>78</v>
      </c>
      <c r="E434" s="104" t="s">
        <v>588</v>
      </c>
      <c r="F434" s="118"/>
      <c r="G434" s="105">
        <f>G435</f>
        <v>17476.010000000002</v>
      </c>
      <c r="H434" s="105">
        <f>H435</f>
        <v>17201.121419999999</v>
      </c>
      <c r="I434" s="127">
        <f t="shared" si="32"/>
        <v>98.427051827047464</v>
      </c>
    </row>
    <row r="435" spans="1:9" s="175" customFormat="1" x14ac:dyDescent="0.2">
      <c r="A435" s="112" t="s">
        <v>582</v>
      </c>
      <c r="B435" s="113" t="s">
        <v>392</v>
      </c>
      <c r="C435" s="113" t="s">
        <v>474</v>
      </c>
      <c r="D435" s="113" t="s">
        <v>78</v>
      </c>
      <c r="E435" s="113" t="s">
        <v>588</v>
      </c>
      <c r="F435" s="113" t="s">
        <v>84</v>
      </c>
      <c r="G435" s="114">
        <f>G436</f>
        <v>17476.010000000002</v>
      </c>
      <c r="H435" s="114">
        <f>H436</f>
        <v>17201.121419999999</v>
      </c>
      <c r="I435" s="128">
        <f t="shared" si="32"/>
        <v>98.427051827047464</v>
      </c>
    </row>
    <row r="436" spans="1:9" s="200" customFormat="1" x14ac:dyDescent="0.2">
      <c r="A436" s="112" t="s">
        <v>85</v>
      </c>
      <c r="B436" s="113" t="s">
        <v>392</v>
      </c>
      <c r="C436" s="113" t="s">
        <v>474</v>
      </c>
      <c r="D436" s="113" t="s">
        <v>78</v>
      </c>
      <c r="E436" s="113" t="s">
        <v>588</v>
      </c>
      <c r="F436" s="113" t="s">
        <v>86</v>
      </c>
      <c r="G436" s="114">
        <f>20100-2395.99-228</f>
        <v>17476.010000000002</v>
      </c>
      <c r="H436" s="114">
        <v>17201.121419999999</v>
      </c>
      <c r="I436" s="128">
        <f t="shared" si="32"/>
        <v>98.427051827047464</v>
      </c>
    </row>
    <row r="437" spans="1:9" s="200" customFormat="1" x14ac:dyDescent="0.2">
      <c r="A437" s="134" t="s">
        <v>347</v>
      </c>
      <c r="B437" s="104" t="s">
        <v>392</v>
      </c>
      <c r="C437" s="104" t="s">
        <v>474</v>
      </c>
      <c r="D437" s="104" t="s">
        <v>78</v>
      </c>
      <c r="E437" s="104" t="s">
        <v>598</v>
      </c>
      <c r="F437" s="118"/>
      <c r="G437" s="105">
        <f>G438</f>
        <v>30</v>
      </c>
      <c r="H437" s="105">
        <f>H438</f>
        <v>30</v>
      </c>
      <c r="I437" s="127">
        <f t="shared" si="32"/>
        <v>100</v>
      </c>
    </row>
    <row r="438" spans="1:9" s="200" customFormat="1" x14ac:dyDescent="0.2">
      <c r="A438" s="112" t="s">
        <v>294</v>
      </c>
      <c r="B438" s="113" t="s">
        <v>392</v>
      </c>
      <c r="C438" s="113" t="s">
        <v>474</v>
      </c>
      <c r="D438" s="113" t="s">
        <v>78</v>
      </c>
      <c r="E438" s="113" t="s">
        <v>598</v>
      </c>
      <c r="F438" s="113" t="s">
        <v>84</v>
      </c>
      <c r="G438" s="114">
        <f>G439</f>
        <v>30</v>
      </c>
      <c r="H438" s="114">
        <f>H439</f>
        <v>30</v>
      </c>
      <c r="I438" s="128">
        <f t="shared" si="32"/>
        <v>100</v>
      </c>
    </row>
    <row r="439" spans="1:9" s="200" customFormat="1" x14ac:dyDescent="0.2">
      <c r="A439" s="112" t="s">
        <v>85</v>
      </c>
      <c r="B439" s="113" t="s">
        <v>392</v>
      </c>
      <c r="C439" s="113" t="s">
        <v>474</v>
      </c>
      <c r="D439" s="113" t="s">
        <v>78</v>
      </c>
      <c r="E439" s="113" t="s">
        <v>598</v>
      </c>
      <c r="F439" s="113" t="s">
        <v>86</v>
      </c>
      <c r="G439" s="114">
        <f>200-170</f>
        <v>30</v>
      </c>
      <c r="H439" s="114">
        <v>30</v>
      </c>
      <c r="I439" s="128">
        <f t="shared" si="32"/>
        <v>100</v>
      </c>
    </row>
    <row r="440" spans="1:9" s="175" customFormat="1" ht="24" x14ac:dyDescent="0.2">
      <c r="A440" s="103" t="s">
        <v>437</v>
      </c>
      <c r="B440" s="104" t="s">
        <v>392</v>
      </c>
      <c r="C440" s="104" t="s">
        <v>474</v>
      </c>
      <c r="D440" s="104" t="s">
        <v>78</v>
      </c>
      <c r="E440" s="104" t="s">
        <v>599</v>
      </c>
      <c r="F440" s="104"/>
      <c r="G440" s="105">
        <f>G441</f>
        <v>161</v>
      </c>
      <c r="H440" s="105">
        <f>H441</f>
        <v>161</v>
      </c>
      <c r="I440" s="127">
        <f t="shared" si="32"/>
        <v>100</v>
      </c>
    </row>
    <row r="441" spans="1:9" s="175" customFormat="1" x14ac:dyDescent="0.2">
      <c r="A441" s="112" t="s">
        <v>294</v>
      </c>
      <c r="B441" s="113" t="s">
        <v>392</v>
      </c>
      <c r="C441" s="113" t="s">
        <v>474</v>
      </c>
      <c r="D441" s="113" t="s">
        <v>78</v>
      </c>
      <c r="E441" s="113" t="s">
        <v>599</v>
      </c>
      <c r="F441" s="113" t="s">
        <v>84</v>
      </c>
      <c r="G441" s="114">
        <f>G442</f>
        <v>161</v>
      </c>
      <c r="H441" s="114">
        <f>H442</f>
        <v>161</v>
      </c>
      <c r="I441" s="128">
        <f t="shared" si="32"/>
        <v>100</v>
      </c>
    </row>
    <row r="442" spans="1:9" s="175" customFormat="1" x14ac:dyDescent="0.2">
      <c r="A442" s="112" t="s">
        <v>85</v>
      </c>
      <c r="B442" s="113" t="s">
        <v>392</v>
      </c>
      <c r="C442" s="113" t="s">
        <v>474</v>
      </c>
      <c r="D442" s="113" t="s">
        <v>78</v>
      </c>
      <c r="E442" s="113" t="s">
        <v>599</v>
      </c>
      <c r="F442" s="113" t="s">
        <v>86</v>
      </c>
      <c r="G442" s="114">
        <f>100-4+65</f>
        <v>161</v>
      </c>
      <c r="H442" s="114">
        <v>161</v>
      </c>
      <c r="I442" s="128">
        <f t="shared" si="32"/>
        <v>100</v>
      </c>
    </row>
    <row r="443" spans="1:9" s="175" customFormat="1" x14ac:dyDescent="0.2">
      <c r="A443" s="103" t="s">
        <v>333</v>
      </c>
      <c r="B443" s="104" t="s">
        <v>392</v>
      </c>
      <c r="C443" s="104" t="s">
        <v>474</v>
      </c>
      <c r="D443" s="104" t="s">
        <v>78</v>
      </c>
      <c r="E443" s="104" t="s">
        <v>600</v>
      </c>
      <c r="F443" s="104"/>
      <c r="G443" s="105">
        <f>G444</f>
        <v>300</v>
      </c>
      <c r="H443" s="105">
        <f>H444</f>
        <v>300</v>
      </c>
      <c r="I443" s="127">
        <f t="shared" si="32"/>
        <v>100</v>
      </c>
    </row>
    <row r="444" spans="1:9" s="175" customFormat="1" x14ac:dyDescent="0.2">
      <c r="A444" s="112" t="s">
        <v>294</v>
      </c>
      <c r="B444" s="113" t="s">
        <v>392</v>
      </c>
      <c r="C444" s="113" t="s">
        <v>474</v>
      </c>
      <c r="D444" s="113" t="s">
        <v>78</v>
      </c>
      <c r="E444" s="113" t="s">
        <v>600</v>
      </c>
      <c r="F444" s="113" t="s">
        <v>84</v>
      </c>
      <c r="G444" s="114">
        <f>G445</f>
        <v>300</v>
      </c>
      <c r="H444" s="114">
        <f>H445</f>
        <v>300</v>
      </c>
      <c r="I444" s="128">
        <f t="shared" si="32"/>
        <v>100</v>
      </c>
    </row>
    <row r="445" spans="1:9" s="175" customFormat="1" x14ac:dyDescent="0.2">
      <c r="A445" s="112" t="s">
        <v>85</v>
      </c>
      <c r="B445" s="113" t="s">
        <v>392</v>
      </c>
      <c r="C445" s="113" t="s">
        <v>474</v>
      </c>
      <c r="D445" s="113" t="s">
        <v>78</v>
      </c>
      <c r="E445" s="113" t="s">
        <v>600</v>
      </c>
      <c r="F445" s="113" t="s">
        <v>86</v>
      </c>
      <c r="G445" s="114">
        <v>300</v>
      </c>
      <c r="H445" s="114">
        <v>300</v>
      </c>
      <c r="I445" s="128">
        <f t="shared" si="32"/>
        <v>100</v>
      </c>
    </row>
    <row r="446" spans="1:9" s="175" customFormat="1" ht="27" x14ac:dyDescent="0.2">
      <c r="A446" s="116" t="s">
        <v>262</v>
      </c>
      <c r="B446" s="107">
        <v>603</v>
      </c>
      <c r="C446" s="107" t="s">
        <v>474</v>
      </c>
      <c r="D446" s="107" t="s">
        <v>78</v>
      </c>
      <c r="E446" s="107" t="s">
        <v>264</v>
      </c>
      <c r="F446" s="107"/>
      <c r="G446" s="108">
        <f>G447</f>
        <v>4025</v>
      </c>
      <c r="H446" s="108">
        <f>H447</f>
        <v>3876.5733600000003</v>
      </c>
      <c r="I446" s="155">
        <f t="shared" si="32"/>
        <v>96.31238161490684</v>
      </c>
    </row>
    <row r="447" spans="1:9" s="175" customFormat="1" ht="24" x14ac:dyDescent="0.2">
      <c r="A447" s="103" t="s">
        <v>263</v>
      </c>
      <c r="B447" s="104">
        <v>603</v>
      </c>
      <c r="C447" s="104" t="s">
        <v>474</v>
      </c>
      <c r="D447" s="104" t="s">
        <v>78</v>
      </c>
      <c r="E447" s="104" t="s">
        <v>264</v>
      </c>
      <c r="F447" s="104"/>
      <c r="G447" s="105">
        <f>G448</f>
        <v>4025</v>
      </c>
      <c r="H447" s="105">
        <f>H448</f>
        <v>3876.5733600000003</v>
      </c>
      <c r="I447" s="127">
        <f t="shared" si="32"/>
        <v>96.31238161490684</v>
      </c>
    </row>
    <row r="448" spans="1:9" s="175" customFormat="1" ht="24" x14ac:dyDescent="0.2">
      <c r="A448" s="117" t="s">
        <v>393</v>
      </c>
      <c r="B448" s="118">
        <v>603</v>
      </c>
      <c r="C448" s="118" t="s">
        <v>474</v>
      </c>
      <c r="D448" s="118" t="s">
        <v>78</v>
      </c>
      <c r="E448" s="132" t="s">
        <v>264</v>
      </c>
      <c r="F448" s="118"/>
      <c r="G448" s="137">
        <f>G449+G452</f>
        <v>4025</v>
      </c>
      <c r="H448" s="137">
        <f>H449+H452</f>
        <v>3876.5733600000003</v>
      </c>
      <c r="I448" s="204">
        <f t="shared" si="32"/>
        <v>96.31238161490684</v>
      </c>
    </row>
    <row r="449" spans="1:9" s="175" customFormat="1" x14ac:dyDescent="0.2">
      <c r="A449" s="120" t="s">
        <v>375</v>
      </c>
      <c r="B449" s="104" t="s">
        <v>392</v>
      </c>
      <c r="C449" s="104" t="s">
        <v>474</v>
      </c>
      <c r="D449" s="104" t="s">
        <v>78</v>
      </c>
      <c r="E449" s="104" t="s">
        <v>72</v>
      </c>
      <c r="F449" s="104"/>
      <c r="G449" s="105">
        <f>G450</f>
        <v>3819.5</v>
      </c>
      <c r="H449" s="105">
        <f>H450</f>
        <v>3684.4801400000001</v>
      </c>
      <c r="I449" s="127">
        <f t="shared" si="32"/>
        <v>96.46498599293102</v>
      </c>
    </row>
    <row r="450" spans="1:9" s="175" customFormat="1" ht="36" x14ac:dyDescent="0.2">
      <c r="A450" s="112" t="s">
        <v>79</v>
      </c>
      <c r="B450" s="113" t="s">
        <v>392</v>
      </c>
      <c r="C450" s="113" t="s">
        <v>474</v>
      </c>
      <c r="D450" s="113" t="s">
        <v>78</v>
      </c>
      <c r="E450" s="113" t="s">
        <v>72</v>
      </c>
      <c r="F450" s="113" t="s">
        <v>80</v>
      </c>
      <c r="G450" s="114">
        <f>G451</f>
        <v>3819.5</v>
      </c>
      <c r="H450" s="114">
        <f>H451</f>
        <v>3684.4801400000001</v>
      </c>
      <c r="I450" s="128">
        <f t="shared" si="32"/>
        <v>96.46498599293102</v>
      </c>
    </row>
    <row r="451" spans="1:9" s="175" customFormat="1" x14ac:dyDescent="0.2">
      <c r="A451" s="112" t="s">
        <v>81</v>
      </c>
      <c r="B451" s="113" t="s">
        <v>392</v>
      </c>
      <c r="C451" s="113" t="s">
        <v>474</v>
      </c>
      <c r="D451" s="113" t="s">
        <v>78</v>
      </c>
      <c r="E451" s="113" t="s">
        <v>72</v>
      </c>
      <c r="F451" s="113" t="s">
        <v>82</v>
      </c>
      <c r="G451" s="114">
        <f>2870+20+860+69.5</f>
        <v>3819.5</v>
      </c>
      <c r="H451" s="114">
        <v>3684.4801400000001</v>
      </c>
      <c r="I451" s="128">
        <f t="shared" si="32"/>
        <v>96.46498599293102</v>
      </c>
    </row>
    <row r="452" spans="1:9" s="175" customFormat="1" x14ac:dyDescent="0.2">
      <c r="A452" s="103" t="s">
        <v>83</v>
      </c>
      <c r="B452" s="104" t="s">
        <v>392</v>
      </c>
      <c r="C452" s="104" t="s">
        <v>474</v>
      </c>
      <c r="D452" s="104" t="s">
        <v>78</v>
      </c>
      <c r="E452" s="104" t="s">
        <v>73</v>
      </c>
      <c r="F452" s="104"/>
      <c r="G452" s="105">
        <f>G453+G455</f>
        <v>205.5</v>
      </c>
      <c r="H452" s="105">
        <f>H453+H455</f>
        <v>192.09322</v>
      </c>
      <c r="I452" s="127">
        <f t="shared" si="32"/>
        <v>93.476019464720196</v>
      </c>
    </row>
    <row r="453" spans="1:9" s="175" customFormat="1" x14ac:dyDescent="0.2">
      <c r="A453" s="112" t="s">
        <v>294</v>
      </c>
      <c r="B453" s="113" t="s">
        <v>392</v>
      </c>
      <c r="C453" s="113" t="s">
        <v>474</v>
      </c>
      <c r="D453" s="113" t="s">
        <v>78</v>
      </c>
      <c r="E453" s="113" t="s">
        <v>73</v>
      </c>
      <c r="F453" s="113" t="s">
        <v>84</v>
      </c>
      <c r="G453" s="114">
        <f>G454</f>
        <v>203.5</v>
      </c>
      <c r="H453" s="114">
        <f>H454</f>
        <v>192.09322</v>
      </c>
      <c r="I453" s="128">
        <f t="shared" si="32"/>
        <v>94.394702702702702</v>
      </c>
    </row>
    <row r="454" spans="1:9" s="175" customFormat="1" x14ac:dyDescent="0.2">
      <c r="A454" s="112" t="s">
        <v>85</v>
      </c>
      <c r="B454" s="113" t="s">
        <v>392</v>
      </c>
      <c r="C454" s="113" t="s">
        <v>474</v>
      </c>
      <c r="D454" s="113" t="s">
        <v>78</v>
      </c>
      <c r="E454" s="113" t="s">
        <v>73</v>
      </c>
      <c r="F454" s="113" t="s">
        <v>86</v>
      </c>
      <c r="G454" s="114">
        <f>85+100+50-16-15.5</f>
        <v>203.5</v>
      </c>
      <c r="H454" s="114">
        <v>192.09322</v>
      </c>
      <c r="I454" s="128">
        <f t="shared" si="32"/>
        <v>94.394702702702702</v>
      </c>
    </row>
    <row r="455" spans="1:9" s="175" customFormat="1" x14ac:dyDescent="0.2">
      <c r="A455" s="112" t="s">
        <v>87</v>
      </c>
      <c r="B455" s="113" t="s">
        <v>392</v>
      </c>
      <c r="C455" s="113" t="s">
        <v>474</v>
      </c>
      <c r="D455" s="113" t="s">
        <v>78</v>
      </c>
      <c r="E455" s="113" t="s">
        <v>73</v>
      </c>
      <c r="F455" s="113" t="s">
        <v>88</v>
      </c>
      <c r="G455" s="114">
        <f>G456</f>
        <v>2</v>
      </c>
      <c r="H455" s="128">
        <f>H456</f>
        <v>0</v>
      </c>
      <c r="I455" s="128">
        <f t="shared" si="32"/>
        <v>0</v>
      </c>
    </row>
    <row r="456" spans="1:9" s="175" customFormat="1" x14ac:dyDescent="0.2">
      <c r="A456" s="112" t="s">
        <v>500</v>
      </c>
      <c r="B456" s="113" t="s">
        <v>392</v>
      </c>
      <c r="C456" s="113" t="s">
        <v>474</v>
      </c>
      <c r="D456" s="113" t="s">
        <v>78</v>
      </c>
      <c r="E456" s="113" t="s">
        <v>73</v>
      </c>
      <c r="F456" s="113" t="s">
        <v>89</v>
      </c>
      <c r="G456" s="114">
        <f>40-38</f>
        <v>2</v>
      </c>
      <c r="H456" s="128">
        <v>0</v>
      </c>
      <c r="I456" s="128">
        <f t="shared" si="32"/>
        <v>0</v>
      </c>
    </row>
    <row r="457" spans="1:9" s="175" customFormat="1" x14ac:dyDescent="0.2">
      <c r="A457" s="138" t="s">
        <v>74</v>
      </c>
      <c r="B457" s="118" t="s">
        <v>392</v>
      </c>
      <c r="C457" s="118" t="s">
        <v>474</v>
      </c>
      <c r="D457" s="118" t="s">
        <v>78</v>
      </c>
      <c r="E457" s="118" t="s">
        <v>209</v>
      </c>
      <c r="F457" s="113"/>
      <c r="G457" s="119">
        <f t="shared" ref="G457:H460" si="34">G458</f>
        <v>162.38023000000001</v>
      </c>
      <c r="H457" s="119">
        <f t="shared" si="34"/>
        <v>162.38023000000001</v>
      </c>
      <c r="I457" s="129">
        <f>H457/G457*100</f>
        <v>100</v>
      </c>
    </row>
    <row r="458" spans="1:9" s="175" customFormat="1" x14ac:dyDescent="0.2">
      <c r="A458" s="120" t="s">
        <v>297</v>
      </c>
      <c r="B458" s="104" t="s">
        <v>392</v>
      </c>
      <c r="C458" s="104" t="s">
        <v>474</v>
      </c>
      <c r="D458" s="104" t="s">
        <v>78</v>
      </c>
      <c r="E458" s="104" t="s">
        <v>210</v>
      </c>
      <c r="F458" s="113"/>
      <c r="G458" s="105">
        <f t="shared" si="34"/>
        <v>162.38023000000001</v>
      </c>
      <c r="H458" s="105">
        <f t="shared" si="34"/>
        <v>162.38023000000001</v>
      </c>
      <c r="I458" s="127">
        <f>H458/G458*100</f>
        <v>100</v>
      </c>
    </row>
    <row r="459" spans="1:9" s="175" customFormat="1" ht="24" x14ac:dyDescent="0.2">
      <c r="A459" s="117" t="s">
        <v>768</v>
      </c>
      <c r="B459" s="118" t="s">
        <v>392</v>
      </c>
      <c r="C459" s="118" t="s">
        <v>474</v>
      </c>
      <c r="D459" s="118" t="s">
        <v>78</v>
      </c>
      <c r="E459" s="118" t="s">
        <v>769</v>
      </c>
      <c r="F459" s="118"/>
      <c r="G459" s="119">
        <f t="shared" si="34"/>
        <v>162.38023000000001</v>
      </c>
      <c r="H459" s="119">
        <f t="shared" si="34"/>
        <v>162.38023000000001</v>
      </c>
      <c r="I459" s="119">
        <f t="shared" si="32"/>
        <v>100</v>
      </c>
    </row>
    <row r="460" spans="1:9" s="175" customFormat="1" ht="36" x14ac:dyDescent="0.2">
      <c r="A460" s="112" t="s">
        <v>79</v>
      </c>
      <c r="B460" s="113" t="s">
        <v>392</v>
      </c>
      <c r="C460" s="113" t="s">
        <v>474</v>
      </c>
      <c r="D460" s="113" t="s">
        <v>78</v>
      </c>
      <c r="E460" s="113" t="s">
        <v>769</v>
      </c>
      <c r="F460" s="113" t="s">
        <v>80</v>
      </c>
      <c r="G460" s="114">
        <f t="shared" si="34"/>
        <v>162.38023000000001</v>
      </c>
      <c r="H460" s="114">
        <f t="shared" si="34"/>
        <v>162.38023000000001</v>
      </c>
      <c r="I460" s="114">
        <f t="shared" si="32"/>
        <v>100</v>
      </c>
    </row>
    <row r="461" spans="1:9" s="175" customFormat="1" x14ac:dyDescent="0.2">
      <c r="A461" s="112" t="s">
        <v>81</v>
      </c>
      <c r="B461" s="113" t="s">
        <v>392</v>
      </c>
      <c r="C461" s="113" t="s">
        <v>474</v>
      </c>
      <c r="D461" s="113" t="s">
        <v>78</v>
      </c>
      <c r="E461" s="113" t="s">
        <v>769</v>
      </c>
      <c r="F461" s="113" t="s">
        <v>82</v>
      </c>
      <c r="G461" s="114">
        <v>162.38023000000001</v>
      </c>
      <c r="H461" s="114">
        <v>162.38023000000001</v>
      </c>
      <c r="I461" s="114">
        <f t="shared" si="32"/>
        <v>100</v>
      </c>
    </row>
    <row r="462" spans="1:9" s="175" customFormat="1" ht="31.5" x14ac:dyDescent="0.2">
      <c r="A462" s="106" t="s">
        <v>141</v>
      </c>
      <c r="B462" s="109" t="s">
        <v>140</v>
      </c>
      <c r="C462" s="110"/>
      <c r="D462" s="110"/>
      <c r="E462" s="110"/>
      <c r="F462" s="110"/>
      <c r="G462" s="111">
        <f>G463+G473+G532</f>
        <v>484024.03062999994</v>
      </c>
      <c r="H462" s="111">
        <f>H463+H473+H532</f>
        <v>479987.51545000001</v>
      </c>
      <c r="I462" s="198">
        <f t="shared" si="32"/>
        <v>99.166050665966722</v>
      </c>
    </row>
    <row r="463" spans="1:9" s="175" customFormat="1" x14ac:dyDescent="0.2">
      <c r="A463" s="103" t="s">
        <v>353</v>
      </c>
      <c r="B463" s="104" t="s">
        <v>140</v>
      </c>
      <c r="C463" s="104" t="s">
        <v>78</v>
      </c>
      <c r="D463" s="104" t="s">
        <v>77</v>
      </c>
      <c r="E463" s="104"/>
      <c r="F463" s="104"/>
      <c r="G463" s="105">
        <f t="shared" ref="G463:H465" si="35">G464</f>
        <v>6652.7</v>
      </c>
      <c r="H463" s="105">
        <f t="shared" si="35"/>
        <v>6605.6058899999998</v>
      </c>
      <c r="I463" s="127">
        <f t="shared" ref="I463:I526" si="36">H463/G463*100</f>
        <v>99.292105310625757</v>
      </c>
    </row>
    <row r="464" spans="1:9" s="175" customFormat="1" x14ac:dyDescent="0.2">
      <c r="A464" s="103" t="s">
        <v>356</v>
      </c>
      <c r="B464" s="104" t="s">
        <v>140</v>
      </c>
      <c r="C464" s="104" t="s">
        <v>78</v>
      </c>
      <c r="D464" s="104" t="s">
        <v>476</v>
      </c>
      <c r="E464" s="104"/>
      <c r="F464" s="104"/>
      <c r="G464" s="105">
        <f t="shared" si="35"/>
        <v>6652.7</v>
      </c>
      <c r="H464" s="105">
        <f t="shared" si="35"/>
        <v>6605.6058899999998</v>
      </c>
      <c r="I464" s="127">
        <f t="shared" si="36"/>
        <v>99.292105310625757</v>
      </c>
    </row>
    <row r="465" spans="1:9" s="175" customFormat="1" ht="27" x14ac:dyDescent="0.2">
      <c r="A465" s="116" t="s">
        <v>602</v>
      </c>
      <c r="B465" s="107" t="s">
        <v>140</v>
      </c>
      <c r="C465" s="107" t="s">
        <v>78</v>
      </c>
      <c r="D465" s="107" t="s">
        <v>476</v>
      </c>
      <c r="E465" s="142" t="s">
        <v>249</v>
      </c>
      <c r="F465" s="107"/>
      <c r="G465" s="108">
        <f t="shared" si="35"/>
        <v>6652.7</v>
      </c>
      <c r="H465" s="108">
        <f t="shared" si="35"/>
        <v>6605.6058899999998</v>
      </c>
      <c r="I465" s="155">
        <f t="shared" si="36"/>
        <v>99.292105310625757</v>
      </c>
    </row>
    <row r="466" spans="1:9" s="175" customFormat="1" x14ac:dyDescent="0.2">
      <c r="A466" s="103" t="s">
        <v>254</v>
      </c>
      <c r="B466" s="104" t="s">
        <v>140</v>
      </c>
      <c r="C466" s="104" t="s">
        <v>78</v>
      </c>
      <c r="D466" s="104" t="s">
        <v>476</v>
      </c>
      <c r="E466" s="104" t="s">
        <v>603</v>
      </c>
      <c r="F466" s="104"/>
      <c r="G466" s="105">
        <f>G467+G469+G471</f>
        <v>6652.7</v>
      </c>
      <c r="H466" s="105">
        <f>H467+H469+H471</f>
        <v>6605.6058899999998</v>
      </c>
      <c r="I466" s="127">
        <f t="shared" si="36"/>
        <v>99.292105310625757</v>
      </c>
    </row>
    <row r="467" spans="1:9" s="175" customFormat="1" ht="36" x14ac:dyDescent="0.2">
      <c r="A467" s="112" t="s">
        <v>79</v>
      </c>
      <c r="B467" s="113" t="s">
        <v>140</v>
      </c>
      <c r="C467" s="113" t="s">
        <v>78</v>
      </c>
      <c r="D467" s="113" t="s">
        <v>476</v>
      </c>
      <c r="E467" s="113" t="s">
        <v>603</v>
      </c>
      <c r="F467" s="113" t="s">
        <v>80</v>
      </c>
      <c r="G467" s="114">
        <f>G468</f>
        <v>5896.26145</v>
      </c>
      <c r="H467" s="114">
        <f>H468</f>
        <v>5885.5985199999996</v>
      </c>
      <c r="I467" s="128">
        <f t="shared" si="36"/>
        <v>99.819157781749993</v>
      </c>
    </row>
    <row r="468" spans="1:9" s="175" customFormat="1" x14ac:dyDescent="0.2">
      <c r="A468" s="112" t="s">
        <v>472</v>
      </c>
      <c r="B468" s="113" t="s">
        <v>140</v>
      </c>
      <c r="C468" s="113" t="s">
        <v>78</v>
      </c>
      <c r="D468" s="113" t="s">
        <v>476</v>
      </c>
      <c r="E468" s="113" t="s">
        <v>603</v>
      </c>
      <c r="F468" s="113" t="s">
        <v>473</v>
      </c>
      <c r="G468" s="114">
        <f>4380+1320+0.72545+195.536</f>
        <v>5896.26145</v>
      </c>
      <c r="H468" s="114">
        <v>5885.5985199999996</v>
      </c>
      <c r="I468" s="128">
        <f t="shared" si="36"/>
        <v>99.819157781749993</v>
      </c>
    </row>
    <row r="469" spans="1:9" s="175" customFormat="1" x14ac:dyDescent="0.2">
      <c r="A469" s="112" t="s">
        <v>294</v>
      </c>
      <c r="B469" s="113" t="s">
        <v>140</v>
      </c>
      <c r="C469" s="113" t="s">
        <v>78</v>
      </c>
      <c r="D469" s="113" t="s">
        <v>476</v>
      </c>
      <c r="E469" s="113" t="s">
        <v>603</v>
      </c>
      <c r="F469" s="113" t="s">
        <v>84</v>
      </c>
      <c r="G469" s="114">
        <f>G470</f>
        <v>714.76254999999992</v>
      </c>
      <c r="H469" s="114">
        <f>H470</f>
        <v>682.15337</v>
      </c>
      <c r="I469" s="128">
        <f t="shared" si="36"/>
        <v>95.437760414280248</v>
      </c>
    </row>
    <row r="470" spans="1:9" s="175" customFormat="1" x14ac:dyDescent="0.2">
      <c r="A470" s="112" t="s">
        <v>85</v>
      </c>
      <c r="B470" s="113" t="s">
        <v>140</v>
      </c>
      <c r="C470" s="113" t="s">
        <v>78</v>
      </c>
      <c r="D470" s="113" t="s">
        <v>476</v>
      </c>
      <c r="E470" s="113" t="s">
        <v>603</v>
      </c>
      <c r="F470" s="113" t="s">
        <v>86</v>
      </c>
      <c r="G470" s="114">
        <f>24.2+75+53.4+198.4+433-0.72545-16.676+143.7-195.536</f>
        <v>714.76254999999992</v>
      </c>
      <c r="H470" s="114">
        <v>682.15337</v>
      </c>
      <c r="I470" s="128">
        <f t="shared" si="36"/>
        <v>95.437760414280248</v>
      </c>
    </row>
    <row r="471" spans="1:9" s="175" customFormat="1" x14ac:dyDescent="0.2">
      <c r="A471" s="112" t="s">
        <v>87</v>
      </c>
      <c r="B471" s="113" t="s">
        <v>140</v>
      </c>
      <c r="C471" s="113" t="s">
        <v>78</v>
      </c>
      <c r="D471" s="113" t="s">
        <v>476</v>
      </c>
      <c r="E471" s="113" t="s">
        <v>603</v>
      </c>
      <c r="F471" s="113" t="s">
        <v>88</v>
      </c>
      <c r="G471" s="114">
        <f>G472</f>
        <v>41.676000000000002</v>
      </c>
      <c r="H471" s="114">
        <f>H472</f>
        <v>37.853999999999999</v>
      </c>
      <c r="I471" s="128">
        <f t="shared" si="36"/>
        <v>90.829254247048652</v>
      </c>
    </row>
    <row r="472" spans="1:9" s="175" customFormat="1" x14ac:dyDescent="0.2">
      <c r="A472" s="112" t="s">
        <v>154</v>
      </c>
      <c r="B472" s="113" t="s">
        <v>140</v>
      </c>
      <c r="C472" s="113" t="s">
        <v>78</v>
      </c>
      <c r="D472" s="113" t="s">
        <v>476</v>
      </c>
      <c r="E472" s="113" t="s">
        <v>603</v>
      </c>
      <c r="F472" s="113" t="s">
        <v>89</v>
      </c>
      <c r="G472" s="114">
        <f>25+16.676</f>
        <v>41.676000000000002</v>
      </c>
      <c r="H472" s="114">
        <v>37.853999999999999</v>
      </c>
      <c r="I472" s="128">
        <f t="shared" si="36"/>
        <v>90.829254247048652</v>
      </c>
    </row>
    <row r="473" spans="1:9" s="175" customFormat="1" x14ac:dyDescent="0.2">
      <c r="A473" s="103" t="s">
        <v>358</v>
      </c>
      <c r="B473" s="104" t="s">
        <v>140</v>
      </c>
      <c r="C473" s="104" t="s">
        <v>416</v>
      </c>
      <c r="D473" s="104" t="s">
        <v>77</v>
      </c>
      <c r="E473" s="104"/>
      <c r="F473" s="104"/>
      <c r="G473" s="105">
        <f>G479+G515+G474</f>
        <v>477019.75562999991</v>
      </c>
      <c r="H473" s="105">
        <f>H479+H515+H474</f>
        <v>473030.33455999999</v>
      </c>
      <c r="I473" s="127">
        <f t="shared" si="36"/>
        <v>99.163678019009694</v>
      </c>
    </row>
    <row r="474" spans="1:9" s="175" customFormat="1" x14ac:dyDescent="0.2">
      <c r="A474" s="103" t="s">
        <v>360</v>
      </c>
      <c r="B474" s="104" t="s">
        <v>140</v>
      </c>
      <c r="C474" s="104" t="s">
        <v>416</v>
      </c>
      <c r="D474" s="104" t="s">
        <v>477</v>
      </c>
      <c r="E474" s="104"/>
      <c r="F474" s="104"/>
      <c r="G474" s="105">
        <f t="shared" ref="G474:H477" si="37">G475</f>
        <v>27113.54</v>
      </c>
      <c r="H474" s="105">
        <f t="shared" si="37"/>
        <v>27113.54</v>
      </c>
      <c r="I474" s="127">
        <f t="shared" si="36"/>
        <v>100</v>
      </c>
    </row>
    <row r="475" spans="1:9" s="175" customFormat="1" ht="27" x14ac:dyDescent="0.2">
      <c r="A475" s="116" t="s">
        <v>602</v>
      </c>
      <c r="B475" s="107" t="s">
        <v>140</v>
      </c>
      <c r="C475" s="107" t="s">
        <v>416</v>
      </c>
      <c r="D475" s="107" t="s">
        <v>477</v>
      </c>
      <c r="E475" s="142" t="s">
        <v>249</v>
      </c>
      <c r="F475" s="104"/>
      <c r="G475" s="108">
        <f t="shared" si="37"/>
        <v>27113.54</v>
      </c>
      <c r="H475" s="108">
        <f t="shared" si="37"/>
        <v>27113.54</v>
      </c>
      <c r="I475" s="155">
        <f t="shared" si="36"/>
        <v>100</v>
      </c>
    </row>
    <row r="476" spans="1:9" s="175" customFormat="1" ht="24" x14ac:dyDescent="0.2">
      <c r="A476" s="103" t="s">
        <v>739</v>
      </c>
      <c r="B476" s="104" t="s">
        <v>140</v>
      </c>
      <c r="C476" s="104" t="s">
        <v>416</v>
      </c>
      <c r="D476" s="104" t="s">
        <v>477</v>
      </c>
      <c r="E476" s="104" t="s">
        <v>740</v>
      </c>
      <c r="F476" s="104"/>
      <c r="G476" s="105">
        <f t="shared" si="37"/>
        <v>27113.54</v>
      </c>
      <c r="H476" s="105">
        <f t="shared" si="37"/>
        <v>27113.54</v>
      </c>
      <c r="I476" s="127">
        <f t="shared" si="36"/>
        <v>100</v>
      </c>
    </row>
    <row r="477" spans="1:9" s="175" customFormat="1" ht="24" x14ac:dyDescent="0.2">
      <c r="A477" s="112" t="s">
        <v>104</v>
      </c>
      <c r="B477" s="113" t="s">
        <v>140</v>
      </c>
      <c r="C477" s="113" t="s">
        <v>416</v>
      </c>
      <c r="D477" s="113" t="s">
        <v>477</v>
      </c>
      <c r="E477" s="113" t="s">
        <v>740</v>
      </c>
      <c r="F477" s="113" t="s">
        <v>391</v>
      </c>
      <c r="G477" s="114">
        <f t="shared" si="37"/>
        <v>27113.54</v>
      </c>
      <c r="H477" s="114">
        <f t="shared" si="37"/>
        <v>27113.54</v>
      </c>
      <c r="I477" s="128">
        <f t="shared" si="36"/>
        <v>100</v>
      </c>
    </row>
    <row r="478" spans="1:9" s="175" customFormat="1" x14ac:dyDescent="0.2">
      <c r="A478" s="112" t="s">
        <v>105</v>
      </c>
      <c r="B478" s="113" t="s">
        <v>140</v>
      </c>
      <c r="C478" s="113" t="s">
        <v>416</v>
      </c>
      <c r="D478" s="113" t="s">
        <v>477</v>
      </c>
      <c r="E478" s="113" t="s">
        <v>740</v>
      </c>
      <c r="F478" s="113" t="s">
        <v>409</v>
      </c>
      <c r="G478" s="114">
        <v>27113.54</v>
      </c>
      <c r="H478" s="114">
        <v>27113.54</v>
      </c>
      <c r="I478" s="128">
        <f t="shared" si="36"/>
        <v>100</v>
      </c>
    </row>
    <row r="479" spans="1:9" s="175" customFormat="1" x14ac:dyDescent="0.2">
      <c r="A479" s="103" t="s">
        <v>362</v>
      </c>
      <c r="B479" s="104" t="s">
        <v>140</v>
      </c>
      <c r="C479" s="104" t="s">
        <v>416</v>
      </c>
      <c r="D479" s="104" t="s">
        <v>469</v>
      </c>
      <c r="E479" s="104"/>
      <c r="F479" s="104"/>
      <c r="G479" s="105">
        <f>G480+G508</f>
        <v>443038.97679999995</v>
      </c>
      <c r="H479" s="105">
        <f>H480+H508</f>
        <v>439052.87949000002</v>
      </c>
      <c r="I479" s="127">
        <f t="shared" si="36"/>
        <v>99.100282927973765</v>
      </c>
    </row>
    <row r="480" spans="1:9" s="175" customFormat="1" ht="27" x14ac:dyDescent="0.2">
      <c r="A480" s="116" t="s">
        <v>602</v>
      </c>
      <c r="B480" s="107" t="s">
        <v>140</v>
      </c>
      <c r="C480" s="107" t="s">
        <v>416</v>
      </c>
      <c r="D480" s="107" t="s">
        <v>469</v>
      </c>
      <c r="E480" s="142" t="s">
        <v>249</v>
      </c>
      <c r="F480" s="107"/>
      <c r="G480" s="108">
        <f>G481+G484+G487+G490+G493+G496+G499+G502+G505</f>
        <v>349120.99699999997</v>
      </c>
      <c r="H480" s="108">
        <f>H481+H484+H487+H490+H493+H496+H499+H502+H505</f>
        <v>345134.90049000003</v>
      </c>
      <c r="I480" s="155">
        <f t="shared" si="36"/>
        <v>98.858247844084858</v>
      </c>
    </row>
    <row r="481" spans="1:9" s="175" customFormat="1" x14ac:dyDescent="0.2">
      <c r="A481" s="134" t="s">
        <v>604</v>
      </c>
      <c r="B481" s="104" t="s">
        <v>140</v>
      </c>
      <c r="C481" s="104" t="s">
        <v>416</v>
      </c>
      <c r="D481" s="104" t="s">
        <v>469</v>
      </c>
      <c r="E481" s="104" t="s">
        <v>605</v>
      </c>
      <c r="F481" s="104"/>
      <c r="G481" s="105">
        <f>G482</f>
        <v>16684.8</v>
      </c>
      <c r="H481" s="105">
        <f>H482</f>
        <v>14433.155000000001</v>
      </c>
      <c r="I481" s="127">
        <f t="shared" si="36"/>
        <v>86.50481276371309</v>
      </c>
    </row>
    <row r="482" spans="1:9" s="175" customFormat="1" x14ac:dyDescent="0.2">
      <c r="A482" s="112" t="s">
        <v>294</v>
      </c>
      <c r="B482" s="113" t="s">
        <v>140</v>
      </c>
      <c r="C482" s="113" t="s">
        <v>416</v>
      </c>
      <c r="D482" s="113" t="s">
        <v>469</v>
      </c>
      <c r="E482" s="113" t="s">
        <v>605</v>
      </c>
      <c r="F482" s="113" t="s">
        <v>84</v>
      </c>
      <c r="G482" s="114">
        <f>G483</f>
        <v>16684.8</v>
      </c>
      <c r="H482" s="114">
        <f>H483</f>
        <v>14433.155000000001</v>
      </c>
      <c r="I482" s="128">
        <f t="shared" si="36"/>
        <v>86.50481276371309</v>
      </c>
    </row>
    <row r="483" spans="1:9" s="175" customFormat="1" x14ac:dyDescent="0.2">
      <c r="A483" s="112" t="s">
        <v>85</v>
      </c>
      <c r="B483" s="113" t="s">
        <v>140</v>
      </c>
      <c r="C483" s="113" t="s">
        <v>416</v>
      </c>
      <c r="D483" s="113" t="s">
        <v>469</v>
      </c>
      <c r="E483" s="113" t="s">
        <v>605</v>
      </c>
      <c r="F483" s="113" t="s">
        <v>86</v>
      </c>
      <c r="G483" s="114">
        <f>31000-0.5-6714.7-10000+400+2000</f>
        <v>16684.8</v>
      </c>
      <c r="H483" s="114">
        <v>14433.155000000001</v>
      </c>
      <c r="I483" s="128">
        <f t="shared" si="36"/>
        <v>86.50481276371309</v>
      </c>
    </row>
    <row r="484" spans="1:9" s="175" customFormat="1" x14ac:dyDescent="0.2">
      <c r="A484" s="134" t="s">
        <v>342</v>
      </c>
      <c r="B484" s="104" t="s">
        <v>140</v>
      </c>
      <c r="C484" s="104" t="s">
        <v>416</v>
      </c>
      <c r="D484" s="104" t="s">
        <v>469</v>
      </c>
      <c r="E484" s="104" t="s">
        <v>606</v>
      </c>
      <c r="F484" s="104"/>
      <c r="G484" s="105">
        <f>G485</f>
        <v>1000</v>
      </c>
      <c r="H484" s="105">
        <f>H485</f>
        <v>997.34699999999998</v>
      </c>
      <c r="I484" s="127">
        <f t="shared" si="36"/>
        <v>99.734700000000004</v>
      </c>
    </row>
    <row r="485" spans="1:9" s="175" customFormat="1" x14ac:dyDescent="0.2">
      <c r="A485" s="112" t="s">
        <v>294</v>
      </c>
      <c r="B485" s="113" t="s">
        <v>140</v>
      </c>
      <c r="C485" s="113" t="s">
        <v>416</v>
      </c>
      <c r="D485" s="113" t="s">
        <v>469</v>
      </c>
      <c r="E485" s="113" t="s">
        <v>606</v>
      </c>
      <c r="F485" s="113" t="s">
        <v>84</v>
      </c>
      <c r="G485" s="114">
        <f>G486</f>
        <v>1000</v>
      </c>
      <c r="H485" s="114">
        <f>H486</f>
        <v>997.34699999999998</v>
      </c>
      <c r="I485" s="128">
        <f t="shared" si="36"/>
        <v>99.734700000000004</v>
      </c>
    </row>
    <row r="486" spans="1:9" s="175" customFormat="1" x14ac:dyDescent="0.2">
      <c r="A486" s="112" t="s">
        <v>85</v>
      </c>
      <c r="B486" s="113" t="s">
        <v>140</v>
      </c>
      <c r="C486" s="113" t="s">
        <v>416</v>
      </c>
      <c r="D486" s="113" t="s">
        <v>469</v>
      </c>
      <c r="E486" s="113" t="s">
        <v>606</v>
      </c>
      <c r="F486" s="113" t="s">
        <v>86</v>
      </c>
      <c r="G486" s="114">
        <f>2000-1000</f>
        <v>1000</v>
      </c>
      <c r="H486" s="114">
        <v>997.34699999999998</v>
      </c>
      <c r="I486" s="128">
        <f t="shared" si="36"/>
        <v>99.734700000000004</v>
      </c>
    </row>
    <row r="487" spans="1:9" s="175" customFormat="1" x14ac:dyDescent="0.2">
      <c r="A487" s="103" t="s">
        <v>343</v>
      </c>
      <c r="B487" s="104" t="s">
        <v>140</v>
      </c>
      <c r="C487" s="104" t="s">
        <v>416</v>
      </c>
      <c r="D487" s="104" t="s">
        <v>469</v>
      </c>
      <c r="E487" s="104" t="s">
        <v>607</v>
      </c>
      <c r="F487" s="104"/>
      <c r="G487" s="105">
        <f>G488</f>
        <v>2000</v>
      </c>
      <c r="H487" s="105">
        <f>H488</f>
        <v>593.95000000000005</v>
      </c>
      <c r="I487" s="127">
        <f t="shared" si="36"/>
        <v>29.697500000000005</v>
      </c>
    </row>
    <row r="488" spans="1:9" s="175" customFormat="1" x14ac:dyDescent="0.2">
      <c r="A488" s="112" t="s">
        <v>294</v>
      </c>
      <c r="B488" s="113" t="s">
        <v>140</v>
      </c>
      <c r="C488" s="113" t="s">
        <v>416</v>
      </c>
      <c r="D488" s="113" t="s">
        <v>469</v>
      </c>
      <c r="E488" s="113" t="s">
        <v>607</v>
      </c>
      <c r="F488" s="113" t="s">
        <v>84</v>
      </c>
      <c r="G488" s="114">
        <f>G489</f>
        <v>2000</v>
      </c>
      <c r="H488" s="114">
        <f>H489</f>
        <v>593.95000000000005</v>
      </c>
      <c r="I488" s="128">
        <f t="shared" si="36"/>
        <v>29.697500000000005</v>
      </c>
    </row>
    <row r="489" spans="1:9" s="175" customFormat="1" x14ac:dyDescent="0.2">
      <c r="A489" s="112" t="s">
        <v>85</v>
      </c>
      <c r="B489" s="113" t="s">
        <v>140</v>
      </c>
      <c r="C489" s="113" t="s">
        <v>416</v>
      </c>
      <c r="D489" s="113" t="s">
        <v>469</v>
      </c>
      <c r="E489" s="113" t="s">
        <v>607</v>
      </c>
      <c r="F489" s="113" t="s">
        <v>86</v>
      </c>
      <c r="G489" s="114">
        <v>2000</v>
      </c>
      <c r="H489" s="114">
        <v>593.95000000000005</v>
      </c>
      <c r="I489" s="128">
        <f t="shared" si="36"/>
        <v>29.697500000000005</v>
      </c>
    </row>
    <row r="490" spans="1:9" s="175" customFormat="1" ht="24" x14ac:dyDescent="0.2">
      <c r="A490" s="134" t="s">
        <v>330</v>
      </c>
      <c r="B490" s="104" t="s">
        <v>140</v>
      </c>
      <c r="C490" s="104" t="s">
        <v>416</v>
      </c>
      <c r="D490" s="104" t="s">
        <v>469</v>
      </c>
      <c r="E490" s="104" t="s">
        <v>608</v>
      </c>
      <c r="F490" s="104"/>
      <c r="G490" s="105">
        <f>G491</f>
        <v>2000</v>
      </c>
      <c r="H490" s="105">
        <f>H491</f>
        <v>1998.9490000000001</v>
      </c>
      <c r="I490" s="127">
        <f t="shared" si="36"/>
        <v>99.947450000000003</v>
      </c>
    </row>
    <row r="491" spans="1:9" s="175" customFormat="1" x14ac:dyDescent="0.2">
      <c r="A491" s="112" t="s">
        <v>294</v>
      </c>
      <c r="B491" s="113" t="s">
        <v>140</v>
      </c>
      <c r="C491" s="113" t="s">
        <v>416</v>
      </c>
      <c r="D491" s="113" t="s">
        <v>469</v>
      </c>
      <c r="E491" s="113" t="s">
        <v>608</v>
      </c>
      <c r="F491" s="113" t="s">
        <v>84</v>
      </c>
      <c r="G491" s="114">
        <f>G492</f>
        <v>2000</v>
      </c>
      <c r="H491" s="114">
        <f>H492</f>
        <v>1998.9490000000001</v>
      </c>
      <c r="I491" s="128">
        <f t="shared" si="36"/>
        <v>99.947450000000003</v>
      </c>
    </row>
    <row r="492" spans="1:9" s="175" customFormat="1" x14ac:dyDescent="0.2">
      <c r="A492" s="112" t="s">
        <v>85</v>
      </c>
      <c r="B492" s="113" t="s">
        <v>140</v>
      </c>
      <c r="C492" s="113" t="s">
        <v>416</v>
      </c>
      <c r="D492" s="113" t="s">
        <v>469</v>
      </c>
      <c r="E492" s="113" t="s">
        <v>608</v>
      </c>
      <c r="F492" s="113" t="s">
        <v>86</v>
      </c>
      <c r="G492" s="114">
        <v>2000</v>
      </c>
      <c r="H492" s="114">
        <v>1998.9490000000001</v>
      </c>
      <c r="I492" s="128">
        <f t="shared" si="36"/>
        <v>99.947450000000003</v>
      </c>
    </row>
    <row r="493" spans="1:9" s="175" customFormat="1" x14ac:dyDescent="0.2">
      <c r="A493" s="134" t="s">
        <v>331</v>
      </c>
      <c r="B493" s="104" t="s">
        <v>140</v>
      </c>
      <c r="C493" s="104" t="s">
        <v>416</v>
      </c>
      <c r="D493" s="104" t="s">
        <v>469</v>
      </c>
      <c r="E493" s="143" t="s">
        <v>609</v>
      </c>
      <c r="F493" s="143"/>
      <c r="G493" s="105">
        <f>G494</f>
        <v>1200</v>
      </c>
      <c r="H493" s="105">
        <f>H494</f>
        <v>1198.32</v>
      </c>
      <c r="I493" s="127">
        <f t="shared" si="36"/>
        <v>99.86</v>
      </c>
    </row>
    <row r="494" spans="1:9" s="175" customFormat="1" x14ac:dyDescent="0.2">
      <c r="A494" s="112" t="s">
        <v>159</v>
      </c>
      <c r="B494" s="113" t="s">
        <v>140</v>
      </c>
      <c r="C494" s="113" t="s">
        <v>416</v>
      </c>
      <c r="D494" s="113" t="s">
        <v>469</v>
      </c>
      <c r="E494" s="130" t="s">
        <v>609</v>
      </c>
      <c r="F494" s="113" t="s">
        <v>84</v>
      </c>
      <c r="G494" s="114">
        <f>G495</f>
        <v>1200</v>
      </c>
      <c r="H494" s="114">
        <f>H495</f>
        <v>1198.32</v>
      </c>
      <c r="I494" s="128">
        <f t="shared" si="36"/>
        <v>99.86</v>
      </c>
    </row>
    <row r="495" spans="1:9" s="175" customFormat="1" x14ac:dyDescent="0.2">
      <c r="A495" s="112" t="s">
        <v>85</v>
      </c>
      <c r="B495" s="113" t="s">
        <v>140</v>
      </c>
      <c r="C495" s="113" t="s">
        <v>416</v>
      </c>
      <c r="D495" s="113" t="s">
        <v>469</v>
      </c>
      <c r="E495" s="130" t="s">
        <v>609</v>
      </c>
      <c r="F495" s="113" t="s">
        <v>86</v>
      </c>
      <c r="G495" s="114">
        <f>2000-800</f>
        <v>1200</v>
      </c>
      <c r="H495" s="114">
        <v>1198.32</v>
      </c>
      <c r="I495" s="128">
        <f t="shared" si="36"/>
        <v>99.86</v>
      </c>
    </row>
    <row r="496" spans="1:9" s="175" customFormat="1" x14ac:dyDescent="0.2">
      <c r="A496" s="103" t="s">
        <v>236</v>
      </c>
      <c r="B496" s="104" t="s">
        <v>140</v>
      </c>
      <c r="C496" s="104" t="s">
        <v>416</v>
      </c>
      <c r="D496" s="104" t="s">
        <v>469</v>
      </c>
      <c r="E496" s="104" t="s">
        <v>610</v>
      </c>
      <c r="F496" s="104"/>
      <c r="G496" s="105">
        <f>G497</f>
        <v>82362</v>
      </c>
      <c r="H496" s="105">
        <f>H497</f>
        <v>82361.653999999995</v>
      </c>
      <c r="I496" s="127">
        <f t="shared" si="36"/>
        <v>99.999579903353492</v>
      </c>
    </row>
    <row r="497" spans="1:9" s="175" customFormat="1" x14ac:dyDescent="0.2">
      <c r="A497" s="112" t="s">
        <v>294</v>
      </c>
      <c r="B497" s="113" t="s">
        <v>140</v>
      </c>
      <c r="C497" s="113" t="s">
        <v>416</v>
      </c>
      <c r="D497" s="113" t="s">
        <v>469</v>
      </c>
      <c r="E497" s="113" t="s">
        <v>610</v>
      </c>
      <c r="F497" s="113" t="s">
        <v>84</v>
      </c>
      <c r="G497" s="114">
        <f>G498</f>
        <v>82362</v>
      </c>
      <c r="H497" s="114">
        <f>H498</f>
        <v>82361.653999999995</v>
      </c>
      <c r="I497" s="128">
        <f t="shared" si="36"/>
        <v>99.999579903353492</v>
      </c>
    </row>
    <row r="498" spans="1:9" s="175" customFormat="1" x14ac:dyDescent="0.2">
      <c r="A498" s="112" t="s">
        <v>85</v>
      </c>
      <c r="B498" s="113" t="s">
        <v>140</v>
      </c>
      <c r="C498" s="113" t="s">
        <v>416</v>
      </c>
      <c r="D498" s="113" t="s">
        <v>469</v>
      </c>
      <c r="E498" s="113" t="s">
        <v>610</v>
      </c>
      <c r="F498" s="113" t="s">
        <v>86</v>
      </c>
      <c r="G498" s="114">
        <f>80000+1400+962</f>
        <v>82362</v>
      </c>
      <c r="H498" s="114">
        <v>82361.653999999995</v>
      </c>
      <c r="I498" s="128">
        <f t="shared" si="36"/>
        <v>99.999579903353492</v>
      </c>
    </row>
    <row r="499" spans="1:9" s="175" customFormat="1" x14ac:dyDescent="0.2">
      <c r="A499" s="103" t="s">
        <v>332</v>
      </c>
      <c r="B499" s="104" t="s">
        <v>140</v>
      </c>
      <c r="C499" s="104" t="s">
        <v>416</v>
      </c>
      <c r="D499" s="104" t="s">
        <v>469</v>
      </c>
      <c r="E499" s="104" t="s">
        <v>611</v>
      </c>
      <c r="F499" s="104"/>
      <c r="G499" s="105">
        <f>G500</f>
        <v>26161</v>
      </c>
      <c r="H499" s="105">
        <f>H500</f>
        <v>26045.143189999999</v>
      </c>
      <c r="I499" s="127">
        <f t="shared" si="36"/>
        <v>99.557139214861806</v>
      </c>
    </row>
    <row r="500" spans="1:9" s="175" customFormat="1" x14ac:dyDescent="0.2">
      <c r="A500" s="112" t="s">
        <v>294</v>
      </c>
      <c r="B500" s="113" t="s">
        <v>140</v>
      </c>
      <c r="C500" s="113" t="s">
        <v>416</v>
      </c>
      <c r="D500" s="113" t="s">
        <v>469</v>
      </c>
      <c r="E500" s="113" t="s">
        <v>611</v>
      </c>
      <c r="F500" s="113" t="s">
        <v>84</v>
      </c>
      <c r="G500" s="114">
        <f>G501</f>
        <v>26161</v>
      </c>
      <c r="H500" s="114">
        <f>H501</f>
        <v>26045.143189999999</v>
      </c>
      <c r="I500" s="128">
        <f t="shared" si="36"/>
        <v>99.557139214861806</v>
      </c>
    </row>
    <row r="501" spans="1:9" s="175" customFormat="1" x14ac:dyDescent="0.2">
      <c r="A501" s="112" t="s">
        <v>85</v>
      </c>
      <c r="B501" s="113" t="s">
        <v>140</v>
      </c>
      <c r="C501" s="113" t="s">
        <v>416</v>
      </c>
      <c r="D501" s="113" t="s">
        <v>469</v>
      </c>
      <c r="E501" s="113" t="s">
        <v>611</v>
      </c>
      <c r="F501" s="113" t="s">
        <v>86</v>
      </c>
      <c r="G501" s="114">
        <v>26161</v>
      </c>
      <c r="H501" s="114">
        <v>26045.143189999999</v>
      </c>
      <c r="I501" s="128">
        <f t="shared" si="36"/>
        <v>99.557139214861806</v>
      </c>
    </row>
    <row r="502" spans="1:9" s="175" customFormat="1" ht="24" x14ac:dyDescent="0.2">
      <c r="A502" s="103" t="s">
        <v>255</v>
      </c>
      <c r="B502" s="104" t="s">
        <v>140</v>
      </c>
      <c r="C502" s="104" t="s">
        <v>416</v>
      </c>
      <c r="D502" s="104" t="s">
        <v>469</v>
      </c>
      <c r="E502" s="104" t="s">
        <v>612</v>
      </c>
      <c r="F502" s="104"/>
      <c r="G502" s="105">
        <f>G503</f>
        <v>205791.19699999999</v>
      </c>
      <c r="H502" s="105">
        <f>H503</f>
        <v>205586.21046</v>
      </c>
      <c r="I502" s="127">
        <f t="shared" si="36"/>
        <v>99.900391006521048</v>
      </c>
    </row>
    <row r="503" spans="1:9" s="175" customFormat="1" ht="24" x14ac:dyDescent="0.2">
      <c r="A503" s="112" t="s">
        <v>104</v>
      </c>
      <c r="B503" s="113" t="s">
        <v>140</v>
      </c>
      <c r="C503" s="113" t="s">
        <v>416</v>
      </c>
      <c r="D503" s="113" t="s">
        <v>469</v>
      </c>
      <c r="E503" s="113" t="s">
        <v>612</v>
      </c>
      <c r="F503" s="113" t="s">
        <v>391</v>
      </c>
      <c r="G503" s="114">
        <f>G504</f>
        <v>205791.19699999999</v>
      </c>
      <c r="H503" s="114">
        <f>H504</f>
        <v>205586.21046</v>
      </c>
      <c r="I503" s="128">
        <f t="shared" si="36"/>
        <v>99.900391006521048</v>
      </c>
    </row>
    <row r="504" spans="1:9" s="175" customFormat="1" x14ac:dyDescent="0.2">
      <c r="A504" s="112" t="s">
        <v>105</v>
      </c>
      <c r="B504" s="113" t="s">
        <v>140</v>
      </c>
      <c r="C504" s="113" t="s">
        <v>416</v>
      </c>
      <c r="D504" s="113" t="s">
        <v>469</v>
      </c>
      <c r="E504" s="113" t="s">
        <v>612</v>
      </c>
      <c r="F504" s="113" t="s">
        <v>409</v>
      </c>
      <c r="G504" s="114">
        <f>164000+7000+37000-2208.803</f>
        <v>205791.19699999999</v>
      </c>
      <c r="H504" s="114">
        <v>205586.21046</v>
      </c>
      <c r="I504" s="128">
        <f t="shared" si="36"/>
        <v>99.900391006521048</v>
      </c>
    </row>
    <row r="505" spans="1:9" s="175" customFormat="1" x14ac:dyDescent="0.2">
      <c r="A505" s="103" t="s">
        <v>244</v>
      </c>
      <c r="B505" s="104" t="s">
        <v>140</v>
      </c>
      <c r="C505" s="104" t="s">
        <v>416</v>
      </c>
      <c r="D505" s="104" t="s">
        <v>469</v>
      </c>
      <c r="E505" s="104" t="s">
        <v>613</v>
      </c>
      <c r="F505" s="104"/>
      <c r="G505" s="127">
        <f>G506</f>
        <v>11922</v>
      </c>
      <c r="H505" s="127">
        <f>H506</f>
        <v>11920.171840000001</v>
      </c>
      <c r="I505" s="127">
        <f t="shared" si="36"/>
        <v>99.984665660124151</v>
      </c>
    </row>
    <row r="506" spans="1:9" s="175" customFormat="1" x14ac:dyDescent="0.2">
      <c r="A506" s="112" t="s">
        <v>294</v>
      </c>
      <c r="B506" s="113" t="s">
        <v>140</v>
      </c>
      <c r="C506" s="113" t="s">
        <v>416</v>
      </c>
      <c r="D506" s="113" t="s">
        <v>469</v>
      </c>
      <c r="E506" s="113" t="s">
        <v>613</v>
      </c>
      <c r="F506" s="113" t="s">
        <v>84</v>
      </c>
      <c r="G506" s="128">
        <f>G507</f>
        <v>11922</v>
      </c>
      <c r="H506" s="128">
        <f>H507</f>
        <v>11920.171840000001</v>
      </c>
      <c r="I506" s="128">
        <f t="shared" si="36"/>
        <v>99.984665660124151</v>
      </c>
    </row>
    <row r="507" spans="1:9" s="175" customFormat="1" x14ac:dyDescent="0.2">
      <c r="A507" s="112" t="s">
        <v>85</v>
      </c>
      <c r="B507" s="113" t="s">
        <v>140</v>
      </c>
      <c r="C507" s="113" t="s">
        <v>416</v>
      </c>
      <c r="D507" s="113" t="s">
        <v>469</v>
      </c>
      <c r="E507" s="113" t="s">
        <v>613</v>
      </c>
      <c r="F507" s="113" t="s">
        <v>86</v>
      </c>
      <c r="G507" s="128">
        <f>48922-37000</f>
        <v>11922</v>
      </c>
      <c r="H507" s="128">
        <v>11920.171840000001</v>
      </c>
      <c r="I507" s="128">
        <f t="shared" si="36"/>
        <v>99.984665660124151</v>
      </c>
    </row>
    <row r="508" spans="1:9" s="175" customFormat="1" ht="27" x14ac:dyDescent="0.2">
      <c r="A508" s="116" t="s">
        <v>614</v>
      </c>
      <c r="B508" s="107" t="s">
        <v>140</v>
      </c>
      <c r="C508" s="107" t="s">
        <v>416</v>
      </c>
      <c r="D508" s="107" t="s">
        <v>469</v>
      </c>
      <c r="E508" s="142" t="s">
        <v>481</v>
      </c>
      <c r="F508" s="107"/>
      <c r="G508" s="155">
        <f>G512+G509</f>
        <v>93917.979800000001</v>
      </c>
      <c r="H508" s="155">
        <f>H512+H509</f>
        <v>93917.979000000007</v>
      </c>
      <c r="I508" s="155">
        <f t="shared" si="36"/>
        <v>99.999999148192927</v>
      </c>
    </row>
    <row r="509" spans="1:9" s="175" customFormat="1" x14ac:dyDescent="0.2">
      <c r="A509" s="103" t="s">
        <v>715</v>
      </c>
      <c r="B509" s="104" t="s">
        <v>140</v>
      </c>
      <c r="C509" s="104" t="s">
        <v>416</v>
      </c>
      <c r="D509" s="104" t="s">
        <v>469</v>
      </c>
      <c r="E509" s="135" t="s">
        <v>716</v>
      </c>
      <c r="F509" s="104"/>
      <c r="G509" s="127">
        <f>G510</f>
        <v>85917.979800000001</v>
      </c>
      <c r="H509" s="127">
        <f>H510</f>
        <v>85917.979080000005</v>
      </c>
      <c r="I509" s="127">
        <f t="shared" si="36"/>
        <v>99.999999161991468</v>
      </c>
    </row>
    <row r="510" spans="1:9" s="175" customFormat="1" x14ac:dyDescent="0.2">
      <c r="A510" s="112" t="s">
        <v>294</v>
      </c>
      <c r="B510" s="113" t="s">
        <v>140</v>
      </c>
      <c r="C510" s="113" t="s">
        <v>416</v>
      </c>
      <c r="D510" s="113" t="s">
        <v>469</v>
      </c>
      <c r="E510" s="123" t="s">
        <v>716</v>
      </c>
      <c r="F510" s="113" t="s">
        <v>84</v>
      </c>
      <c r="G510" s="128">
        <f>G511</f>
        <v>85917.979800000001</v>
      </c>
      <c r="H510" s="128">
        <f>H511</f>
        <v>85917.979080000005</v>
      </c>
      <c r="I510" s="128">
        <f t="shared" si="36"/>
        <v>99.999999161991468</v>
      </c>
    </row>
    <row r="511" spans="1:9" s="175" customFormat="1" x14ac:dyDescent="0.2">
      <c r="A511" s="112" t="s">
        <v>85</v>
      </c>
      <c r="B511" s="113" t="s">
        <v>140</v>
      </c>
      <c r="C511" s="113" t="s">
        <v>416</v>
      </c>
      <c r="D511" s="113" t="s">
        <v>469</v>
      </c>
      <c r="E511" s="123" t="s">
        <v>716</v>
      </c>
      <c r="F511" s="113" t="s">
        <v>86</v>
      </c>
      <c r="G511" s="128">
        <v>85917.979800000001</v>
      </c>
      <c r="H511" s="128">
        <v>85917.979080000005</v>
      </c>
      <c r="I511" s="128">
        <f t="shared" si="36"/>
        <v>99.999999161991468</v>
      </c>
    </row>
    <row r="512" spans="1:9" s="175" customFormat="1" ht="24" x14ac:dyDescent="0.2">
      <c r="A512" s="103" t="s">
        <v>45</v>
      </c>
      <c r="B512" s="104" t="s">
        <v>140</v>
      </c>
      <c r="C512" s="104" t="s">
        <v>416</v>
      </c>
      <c r="D512" s="104" t="s">
        <v>469</v>
      </c>
      <c r="E512" s="135" t="s">
        <v>601</v>
      </c>
      <c r="F512" s="104"/>
      <c r="G512" s="127">
        <f>G513</f>
        <v>8000</v>
      </c>
      <c r="H512" s="127">
        <f>H513</f>
        <v>7999.9999200000002</v>
      </c>
      <c r="I512" s="127">
        <f t="shared" si="36"/>
        <v>99.999999000000003</v>
      </c>
    </row>
    <row r="513" spans="1:9" s="175" customFormat="1" x14ac:dyDescent="0.2">
      <c r="A513" s="112" t="s">
        <v>294</v>
      </c>
      <c r="B513" s="113" t="s">
        <v>140</v>
      </c>
      <c r="C513" s="113" t="s">
        <v>416</v>
      </c>
      <c r="D513" s="113" t="s">
        <v>469</v>
      </c>
      <c r="E513" s="123" t="s">
        <v>601</v>
      </c>
      <c r="F513" s="113" t="s">
        <v>84</v>
      </c>
      <c r="G513" s="128">
        <f>G514</f>
        <v>8000</v>
      </c>
      <c r="H513" s="128">
        <f>H514</f>
        <v>7999.9999200000002</v>
      </c>
      <c r="I513" s="128">
        <f t="shared" si="36"/>
        <v>99.999999000000003</v>
      </c>
    </row>
    <row r="514" spans="1:9" s="175" customFormat="1" x14ac:dyDescent="0.2">
      <c r="A514" s="112" t="s">
        <v>85</v>
      </c>
      <c r="B514" s="113" t="s">
        <v>140</v>
      </c>
      <c r="C514" s="113" t="s">
        <v>416</v>
      </c>
      <c r="D514" s="113" t="s">
        <v>469</v>
      </c>
      <c r="E514" s="123" t="s">
        <v>601</v>
      </c>
      <c r="F514" s="113" t="s">
        <v>86</v>
      </c>
      <c r="G514" s="128">
        <v>8000</v>
      </c>
      <c r="H514" s="128">
        <v>7999.9999200000002</v>
      </c>
      <c r="I514" s="128">
        <f t="shared" si="36"/>
        <v>99.999999000000003</v>
      </c>
    </row>
    <row r="515" spans="1:9" s="175" customFormat="1" x14ac:dyDescent="0.2">
      <c r="A515" s="103" t="s">
        <v>363</v>
      </c>
      <c r="B515" s="104" t="s">
        <v>140</v>
      </c>
      <c r="C515" s="104" t="s">
        <v>416</v>
      </c>
      <c r="D515" s="104" t="s">
        <v>416</v>
      </c>
      <c r="E515" s="104"/>
      <c r="F515" s="104"/>
      <c r="G515" s="105">
        <f>G516+G527</f>
        <v>6867.2388300000002</v>
      </c>
      <c r="H515" s="105">
        <f>H516+H527</f>
        <v>6863.91507</v>
      </c>
      <c r="I515" s="127">
        <f t="shared" si="36"/>
        <v>99.95159976109349</v>
      </c>
    </row>
    <row r="516" spans="1:9" s="175" customFormat="1" ht="27" x14ac:dyDescent="0.2">
      <c r="A516" s="116" t="s">
        <v>602</v>
      </c>
      <c r="B516" s="107" t="s">
        <v>140</v>
      </c>
      <c r="C516" s="107" t="s">
        <v>416</v>
      </c>
      <c r="D516" s="107" t="s">
        <v>416</v>
      </c>
      <c r="E516" s="107" t="s">
        <v>249</v>
      </c>
      <c r="F516" s="107"/>
      <c r="G516" s="108">
        <f>G517</f>
        <v>6663</v>
      </c>
      <c r="H516" s="108">
        <f>H517</f>
        <v>6659.6762399999998</v>
      </c>
      <c r="I516" s="155">
        <f t="shared" si="36"/>
        <v>99.950116163890129</v>
      </c>
    </row>
    <row r="517" spans="1:9" s="175" customFormat="1" ht="24" x14ac:dyDescent="0.2">
      <c r="A517" s="120" t="s">
        <v>334</v>
      </c>
      <c r="B517" s="104" t="s">
        <v>140</v>
      </c>
      <c r="C517" s="104" t="s">
        <v>416</v>
      </c>
      <c r="D517" s="104" t="s">
        <v>416</v>
      </c>
      <c r="E517" s="104" t="s">
        <v>249</v>
      </c>
      <c r="F517" s="104"/>
      <c r="G517" s="105">
        <f>G518</f>
        <v>6663</v>
      </c>
      <c r="H517" s="105">
        <f>H518</f>
        <v>6659.6762399999998</v>
      </c>
      <c r="I517" s="127">
        <f t="shared" si="36"/>
        <v>99.950116163890129</v>
      </c>
    </row>
    <row r="518" spans="1:9" s="175" customFormat="1" ht="24" x14ac:dyDescent="0.2">
      <c r="A518" s="117" t="s">
        <v>393</v>
      </c>
      <c r="B518" s="118" t="s">
        <v>140</v>
      </c>
      <c r="C518" s="118" t="s">
        <v>416</v>
      </c>
      <c r="D518" s="118" t="s">
        <v>416</v>
      </c>
      <c r="E518" s="118" t="s">
        <v>249</v>
      </c>
      <c r="F518" s="118"/>
      <c r="G518" s="119">
        <f>G519+G522</f>
        <v>6663</v>
      </c>
      <c r="H518" s="119">
        <f>H519+H522</f>
        <v>6659.6762399999998</v>
      </c>
      <c r="I518" s="129">
        <f t="shared" si="36"/>
        <v>99.950116163890129</v>
      </c>
    </row>
    <row r="519" spans="1:9" s="175" customFormat="1" x14ac:dyDescent="0.2">
      <c r="A519" s="120" t="s">
        <v>375</v>
      </c>
      <c r="B519" s="104" t="s">
        <v>140</v>
      </c>
      <c r="C519" s="104" t="s">
        <v>416</v>
      </c>
      <c r="D519" s="104" t="s">
        <v>416</v>
      </c>
      <c r="E519" s="104" t="s">
        <v>335</v>
      </c>
      <c r="F519" s="104"/>
      <c r="G519" s="105">
        <f>G520</f>
        <v>6470</v>
      </c>
      <c r="H519" s="105">
        <f>H520</f>
        <v>6470</v>
      </c>
      <c r="I519" s="127">
        <f t="shared" si="36"/>
        <v>100</v>
      </c>
    </row>
    <row r="520" spans="1:9" s="175" customFormat="1" ht="36" x14ac:dyDescent="0.2">
      <c r="A520" s="112" t="s">
        <v>79</v>
      </c>
      <c r="B520" s="113" t="s">
        <v>140</v>
      </c>
      <c r="C520" s="113" t="s">
        <v>416</v>
      </c>
      <c r="D520" s="113" t="s">
        <v>416</v>
      </c>
      <c r="E520" s="113" t="s">
        <v>335</v>
      </c>
      <c r="F520" s="113" t="s">
        <v>80</v>
      </c>
      <c r="G520" s="114">
        <f>G521</f>
        <v>6470</v>
      </c>
      <c r="H520" s="114">
        <f>H521</f>
        <v>6470</v>
      </c>
      <c r="I520" s="128">
        <f t="shared" si="36"/>
        <v>100</v>
      </c>
    </row>
    <row r="521" spans="1:9" s="175" customFormat="1" x14ac:dyDescent="0.2">
      <c r="A521" s="112" t="s">
        <v>81</v>
      </c>
      <c r="B521" s="113" t="s">
        <v>140</v>
      </c>
      <c r="C521" s="113" t="s">
        <v>416</v>
      </c>
      <c r="D521" s="113" t="s">
        <v>416</v>
      </c>
      <c r="E521" s="113" t="s">
        <v>335</v>
      </c>
      <c r="F521" s="113" t="s">
        <v>82</v>
      </c>
      <c r="G521" s="114">
        <f>4970+1500</f>
        <v>6470</v>
      </c>
      <c r="H521" s="114">
        <v>6470</v>
      </c>
      <c r="I521" s="128">
        <f t="shared" si="36"/>
        <v>100</v>
      </c>
    </row>
    <row r="522" spans="1:9" s="175" customFormat="1" x14ac:dyDescent="0.2">
      <c r="A522" s="103" t="s">
        <v>83</v>
      </c>
      <c r="B522" s="104" t="s">
        <v>140</v>
      </c>
      <c r="C522" s="104" t="s">
        <v>416</v>
      </c>
      <c r="D522" s="104" t="s">
        <v>416</v>
      </c>
      <c r="E522" s="104" t="s">
        <v>336</v>
      </c>
      <c r="F522" s="104"/>
      <c r="G522" s="105">
        <f>G523+G525</f>
        <v>193</v>
      </c>
      <c r="H522" s="105">
        <f>H523+H525</f>
        <v>189.67624000000001</v>
      </c>
      <c r="I522" s="127">
        <f t="shared" si="36"/>
        <v>98.277844559585489</v>
      </c>
    </row>
    <row r="523" spans="1:9" s="175" customFormat="1" x14ac:dyDescent="0.2">
      <c r="A523" s="112" t="s">
        <v>294</v>
      </c>
      <c r="B523" s="113" t="s">
        <v>140</v>
      </c>
      <c r="C523" s="113" t="s">
        <v>416</v>
      </c>
      <c r="D523" s="113" t="s">
        <v>416</v>
      </c>
      <c r="E523" s="113" t="s">
        <v>336</v>
      </c>
      <c r="F523" s="113" t="s">
        <v>84</v>
      </c>
      <c r="G523" s="114">
        <f>G524</f>
        <v>190</v>
      </c>
      <c r="H523" s="114">
        <f>H524</f>
        <v>189.67624000000001</v>
      </c>
      <c r="I523" s="128">
        <f t="shared" si="36"/>
        <v>99.829600000000013</v>
      </c>
    </row>
    <row r="524" spans="1:9" s="175" customFormat="1" x14ac:dyDescent="0.2">
      <c r="A524" s="112" t="s">
        <v>85</v>
      </c>
      <c r="B524" s="113" t="s">
        <v>140</v>
      </c>
      <c r="C524" s="113" t="s">
        <v>416</v>
      </c>
      <c r="D524" s="113" t="s">
        <v>416</v>
      </c>
      <c r="E524" s="113" t="s">
        <v>336</v>
      </c>
      <c r="F524" s="113" t="s">
        <v>86</v>
      </c>
      <c r="G524" s="114">
        <f>60+30+30+35+35</f>
        <v>190</v>
      </c>
      <c r="H524" s="114">
        <v>189.67624000000001</v>
      </c>
      <c r="I524" s="128">
        <f t="shared" si="36"/>
        <v>99.829600000000013</v>
      </c>
    </row>
    <row r="525" spans="1:9" s="175" customFormat="1" x14ac:dyDescent="0.2">
      <c r="A525" s="112" t="s">
        <v>87</v>
      </c>
      <c r="B525" s="113" t="s">
        <v>140</v>
      </c>
      <c r="C525" s="113" t="s">
        <v>416</v>
      </c>
      <c r="D525" s="113" t="s">
        <v>416</v>
      </c>
      <c r="E525" s="113" t="s">
        <v>336</v>
      </c>
      <c r="F525" s="113" t="s">
        <v>88</v>
      </c>
      <c r="G525" s="114">
        <f>G526</f>
        <v>3</v>
      </c>
      <c r="H525" s="128">
        <f>H526</f>
        <v>0</v>
      </c>
      <c r="I525" s="128">
        <f t="shared" si="36"/>
        <v>0</v>
      </c>
    </row>
    <row r="526" spans="1:9" s="175" customFormat="1" x14ac:dyDescent="0.2">
      <c r="A526" s="112" t="s">
        <v>500</v>
      </c>
      <c r="B526" s="113" t="s">
        <v>140</v>
      </c>
      <c r="C526" s="113" t="s">
        <v>416</v>
      </c>
      <c r="D526" s="113" t="s">
        <v>416</v>
      </c>
      <c r="E526" s="113" t="s">
        <v>336</v>
      </c>
      <c r="F526" s="113" t="s">
        <v>89</v>
      </c>
      <c r="G526" s="114">
        <v>3</v>
      </c>
      <c r="H526" s="128">
        <v>0</v>
      </c>
      <c r="I526" s="128">
        <f t="shared" si="36"/>
        <v>0</v>
      </c>
    </row>
    <row r="527" spans="1:9" s="175" customFormat="1" x14ac:dyDescent="0.2">
      <c r="A527" s="138" t="s">
        <v>74</v>
      </c>
      <c r="B527" s="118" t="s">
        <v>140</v>
      </c>
      <c r="C527" s="118" t="s">
        <v>416</v>
      </c>
      <c r="D527" s="118" t="s">
        <v>416</v>
      </c>
      <c r="E527" s="118" t="s">
        <v>209</v>
      </c>
      <c r="F527" s="113"/>
      <c r="G527" s="119">
        <f t="shared" ref="G527:H530" si="38">G528</f>
        <v>204.23883000000001</v>
      </c>
      <c r="H527" s="119">
        <f t="shared" si="38"/>
        <v>204.23883000000001</v>
      </c>
      <c r="I527" s="129">
        <f>H527/G527*100</f>
        <v>100</v>
      </c>
    </row>
    <row r="528" spans="1:9" s="175" customFormat="1" x14ac:dyDescent="0.2">
      <c r="A528" s="120" t="s">
        <v>297</v>
      </c>
      <c r="B528" s="104" t="s">
        <v>140</v>
      </c>
      <c r="C528" s="104" t="s">
        <v>416</v>
      </c>
      <c r="D528" s="104" t="s">
        <v>416</v>
      </c>
      <c r="E528" s="104" t="s">
        <v>210</v>
      </c>
      <c r="F528" s="113"/>
      <c r="G528" s="105">
        <f t="shared" si="38"/>
        <v>204.23883000000001</v>
      </c>
      <c r="H528" s="105">
        <f t="shared" si="38"/>
        <v>204.23883000000001</v>
      </c>
      <c r="I528" s="127">
        <f>H528/G528*100</f>
        <v>100</v>
      </c>
    </row>
    <row r="529" spans="1:9" s="175" customFormat="1" ht="24" x14ac:dyDescent="0.2">
      <c r="A529" s="117" t="s">
        <v>768</v>
      </c>
      <c r="B529" s="118" t="s">
        <v>140</v>
      </c>
      <c r="C529" s="118" t="s">
        <v>416</v>
      </c>
      <c r="D529" s="118" t="s">
        <v>416</v>
      </c>
      <c r="E529" s="118" t="s">
        <v>769</v>
      </c>
      <c r="F529" s="118"/>
      <c r="G529" s="119">
        <f t="shared" si="38"/>
        <v>204.23883000000001</v>
      </c>
      <c r="H529" s="119">
        <f t="shared" si="38"/>
        <v>204.23883000000001</v>
      </c>
      <c r="I529" s="119">
        <f t="shared" ref="I529:I592" si="39">H529/G529*100</f>
        <v>100</v>
      </c>
    </row>
    <row r="530" spans="1:9" s="175" customFormat="1" ht="36" x14ac:dyDescent="0.2">
      <c r="A530" s="112" t="s">
        <v>79</v>
      </c>
      <c r="B530" s="113" t="s">
        <v>140</v>
      </c>
      <c r="C530" s="113" t="s">
        <v>416</v>
      </c>
      <c r="D530" s="113" t="s">
        <v>416</v>
      </c>
      <c r="E530" s="113" t="s">
        <v>769</v>
      </c>
      <c r="F530" s="113" t="s">
        <v>80</v>
      </c>
      <c r="G530" s="114">
        <f t="shared" si="38"/>
        <v>204.23883000000001</v>
      </c>
      <c r="H530" s="114">
        <f t="shared" si="38"/>
        <v>204.23883000000001</v>
      </c>
      <c r="I530" s="114">
        <f t="shared" si="39"/>
        <v>100</v>
      </c>
    </row>
    <row r="531" spans="1:9" s="175" customFormat="1" x14ac:dyDescent="0.2">
      <c r="A531" s="112" t="s">
        <v>81</v>
      </c>
      <c r="B531" s="113" t="s">
        <v>140</v>
      </c>
      <c r="C531" s="113" t="s">
        <v>416</v>
      </c>
      <c r="D531" s="113" t="s">
        <v>416</v>
      </c>
      <c r="E531" s="113" t="s">
        <v>769</v>
      </c>
      <c r="F531" s="113" t="s">
        <v>82</v>
      </c>
      <c r="G531" s="114">
        <v>204.23883000000001</v>
      </c>
      <c r="H531" s="114">
        <v>204.23883000000001</v>
      </c>
      <c r="I531" s="114">
        <f t="shared" si="39"/>
        <v>100</v>
      </c>
    </row>
    <row r="532" spans="1:9" s="175" customFormat="1" x14ac:dyDescent="0.2">
      <c r="A532" s="103" t="s">
        <v>379</v>
      </c>
      <c r="B532" s="104" t="s">
        <v>140</v>
      </c>
      <c r="C532" s="104" t="s">
        <v>474</v>
      </c>
      <c r="D532" s="104" t="s">
        <v>77</v>
      </c>
      <c r="E532" s="104"/>
      <c r="F532" s="104"/>
      <c r="G532" s="105">
        <f>G533</f>
        <v>351.57499999999999</v>
      </c>
      <c r="H532" s="105">
        <f>H533</f>
        <v>351.57499999999999</v>
      </c>
      <c r="I532" s="127">
        <f t="shared" si="39"/>
        <v>100</v>
      </c>
    </row>
    <row r="533" spans="1:9" s="175" customFormat="1" x14ac:dyDescent="0.2">
      <c r="A533" s="103" t="s">
        <v>453</v>
      </c>
      <c r="B533" s="104" t="s">
        <v>140</v>
      </c>
      <c r="C533" s="104" t="s">
        <v>474</v>
      </c>
      <c r="D533" s="104" t="s">
        <v>78</v>
      </c>
      <c r="E533" s="104"/>
      <c r="F533" s="104"/>
      <c r="G533" s="105">
        <f>G534</f>
        <v>351.57499999999999</v>
      </c>
      <c r="H533" s="105">
        <f>H534</f>
        <v>351.57499999999999</v>
      </c>
      <c r="I533" s="127">
        <f t="shared" si="39"/>
        <v>100</v>
      </c>
    </row>
    <row r="534" spans="1:9" s="175" customFormat="1" ht="27" x14ac:dyDescent="0.2">
      <c r="A534" s="116" t="s">
        <v>602</v>
      </c>
      <c r="B534" s="107" t="s">
        <v>140</v>
      </c>
      <c r="C534" s="107" t="s">
        <v>474</v>
      </c>
      <c r="D534" s="107" t="s">
        <v>78</v>
      </c>
      <c r="E534" s="142" t="s">
        <v>249</v>
      </c>
      <c r="F534" s="107"/>
      <c r="G534" s="108">
        <f>G535+G538</f>
        <v>351.57499999999999</v>
      </c>
      <c r="H534" s="108">
        <f>H535+H538</f>
        <v>351.57499999999999</v>
      </c>
      <c r="I534" s="155">
        <f t="shared" si="39"/>
        <v>100</v>
      </c>
    </row>
    <row r="535" spans="1:9" s="175" customFormat="1" ht="24" x14ac:dyDescent="0.2">
      <c r="A535" s="103" t="s">
        <v>695</v>
      </c>
      <c r="B535" s="104" t="s">
        <v>140</v>
      </c>
      <c r="C535" s="104" t="s">
        <v>474</v>
      </c>
      <c r="D535" s="104" t="s">
        <v>78</v>
      </c>
      <c r="E535" s="104" t="s">
        <v>696</v>
      </c>
      <c r="F535" s="104"/>
      <c r="G535" s="105">
        <f>G536</f>
        <v>351.07499999999999</v>
      </c>
      <c r="H535" s="105">
        <f>H536</f>
        <v>351.07499999999999</v>
      </c>
      <c r="I535" s="127">
        <f t="shared" si="39"/>
        <v>100</v>
      </c>
    </row>
    <row r="536" spans="1:9" s="200" customFormat="1" x14ac:dyDescent="0.2">
      <c r="A536" s="112" t="s">
        <v>294</v>
      </c>
      <c r="B536" s="113" t="s">
        <v>140</v>
      </c>
      <c r="C536" s="113" t="s">
        <v>474</v>
      </c>
      <c r="D536" s="113" t="s">
        <v>78</v>
      </c>
      <c r="E536" s="113" t="s">
        <v>696</v>
      </c>
      <c r="F536" s="113" t="s">
        <v>84</v>
      </c>
      <c r="G536" s="114">
        <f>G537</f>
        <v>351.07499999999999</v>
      </c>
      <c r="H536" s="114">
        <f>H537</f>
        <v>351.07499999999999</v>
      </c>
      <c r="I536" s="128">
        <f t="shared" si="39"/>
        <v>100</v>
      </c>
    </row>
    <row r="537" spans="1:9" s="200" customFormat="1" x14ac:dyDescent="0.2">
      <c r="A537" s="112" t="s">
        <v>85</v>
      </c>
      <c r="B537" s="113" t="s">
        <v>140</v>
      </c>
      <c r="C537" s="113" t="s">
        <v>474</v>
      </c>
      <c r="D537" s="113" t="s">
        <v>78</v>
      </c>
      <c r="E537" s="113" t="s">
        <v>696</v>
      </c>
      <c r="F537" s="113" t="s">
        <v>86</v>
      </c>
      <c r="G537" s="114">
        <v>351.07499999999999</v>
      </c>
      <c r="H537" s="114">
        <v>351.07499999999999</v>
      </c>
      <c r="I537" s="128">
        <f t="shared" si="39"/>
        <v>100</v>
      </c>
    </row>
    <row r="538" spans="1:9" s="200" customFormat="1" x14ac:dyDescent="0.2">
      <c r="A538" s="103" t="s">
        <v>697</v>
      </c>
      <c r="B538" s="104" t="s">
        <v>140</v>
      </c>
      <c r="C538" s="104" t="s">
        <v>474</v>
      </c>
      <c r="D538" s="104" t="s">
        <v>78</v>
      </c>
      <c r="E538" s="104" t="s">
        <v>698</v>
      </c>
      <c r="F538" s="104"/>
      <c r="G538" s="105">
        <f>G539</f>
        <v>0.5</v>
      </c>
      <c r="H538" s="105">
        <f>H539</f>
        <v>0.5</v>
      </c>
      <c r="I538" s="127">
        <f t="shared" si="39"/>
        <v>100</v>
      </c>
    </row>
    <row r="539" spans="1:9" s="200" customFormat="1" x14ac:dyDescent="0.2">
      <c r="A539" s="112" t="s">
        <v>294</v>
      </c>
      <c r="B539" s="113" t="s">
        <v>140</v>
      </c>
      <c r="C539" s="113" t="s">
        <v>474</v>
      </c>
      <c r="D539" s="113" t="s">
        <v>78</v>
      </c>
      <c r="E539" s="113" t="s">
        <v>698</v>
      </c>
      <c r="F539" s="113" t="s">
        <v>84</v>
      </c>
      <c r="G539" s="114">
        <f>G540</f>
        <v>0.5</v>
      </c>
      <c r="H539" s="114">
        <f>H540</f>
        <v>0.5</v>
      </c>
      <c r="I539" s="128">
        <f t="shared" si="39"/>
        <v>100</v>
      </c>
    </row>
    <row r="540" spans="1:9" s="200" customFormat="1" x14ac:dyDescent="0.2">
      <c r="A540" s="112" t="s">
        <v>85</v>
      </c>
      <c r="B540" s="113" t="s">
        <v>140</v>
      </c>
      <c r="C540" s="113" t="s">
        <v>474</v>
      </c>
      <c r="D540" s="113" t="s">
        <v>78</v>
      </c>
      <c r="E540" s="113" t="s">
        <v>698</v>
      </c>
      <c r="F540" s="113" t="s">
        <v>86</v>
      </c>
      <c r="G540" s="114">
        <v>0.5</v>
      </c>
      <c r="H540" s="114">
        <v>0.5</v>
      </c>
      <c r="I540" s="128">
        <f t="shared" si="39"/>
        <v>100</v>
      </c>
    </row>
    <row r="541" spans="1:9" s="200" customFormat="1" ht="31.5" x14ac:dyDescent="0.2">
      <c r="A541" s="106" t="s">
        <v>394</v>
      </c>
      <c r="B541" s="109" t="s">
        <v>395</v>
      </c>
      <c r="C541" s="110"/>
      <c r="D541" s="110"/>
      <c r="E541" s="110"/>
      <c r="F541" s="110"/>
      <c r="G541" s="111">
        <f>G542+G551+G604+G618</f>
        <v>328424.32357999997</v>
      </c>
      <c r="H541" s="111">
        <f>H542+H551+H604+H618</f>
        <v>325752.92847000004</v>
      </c>
      <c r="I541" s="198">
        <f t="shared" si="39"/>
        <v>99.186602538788762</v>
      </c>
    </row>
    <row r="542" spans="1:9" s="115" customFormat="1" x14ac:dyDescent="0.2">
      <c r="A542" s="103" t="s">
        <v>353</v>
      </c>
      <c r="B542" s="104" t="s">
        <v>395</v>
      </c>
      <c r="C542" s="104" t="s">
        <v>78</v>
      </c>
      <c r="D542" s="104" t="s">
        <v>77</v>
      </c>
      <c r="E542" s="104"/>
      <c r="F542" s="104"/>
      <c r="G542" s="105">
        <f>G543</f>
        <v>2200</v>
      </c>
      <c r="H542" s="105">
        <f>H543</f>
        <v>1848.4590000000001</v>
      </c>
      <c r="I542" s="127">
        <f t="shared" si="39"/>
        <v>84.020863636363643</v>
      </c>
    </row>
    <row r="543" spans="1:9" s="175" customFormat="1" x14ac:dyDescent="0.2">
      <c r="A543" s="103" t="s">
        <v>388</v>
      </c>
      <c r="B543" s="104" t="s">
        <v>395</v>
      </c>
      <c r="C543" s="104" t="s">
        <v>78</v>
      </c>
      <c r="D543" s="104" t="s">
        <v>475</v>
      </c>
      <c r="E543" s="132"/>
      <c r="F543" s="104"/>
      <c r="G543" s="105">
        <f>G544</f>
        <v>2200</v>
      </c>
      <c r="H543" s="105">
        <f>H544</f>
        <v>1848.4590000000001</v>
      </c>
      <c r="I543" s="127">
        <f t="shared" si="39"/>
        <v>84.020863636363643</v>
      </c>
    </row>
    <row r="544" spans="1:9" s="175" customFormat="1" ht="27" x14ac:dyDescent="0.2">
      <c r="A544" s="116" t="s">
        <v>672</v>
      </c>
      <c r="B544" s="107" t="s">
        <v>395</v>
      </c>
      <c r="C544" s="107" t="s">
        <v>78</v>
      </c>
      <c r="D544" s="107" t="s">
        <v>475</v>
      </c>
      <c r="E544" s="107" t="s">
        <v>266</v>
      </c>
      <c r="F544" s="107"/>
      <c r="G544" s="108">
        <f>G545+G548</f>
        <v>2200</v>
      </c>
      <c r="H544" s="108">
        <f>H545+H548</f>
        <v>1848.4590000000001</v>
      </c>
      <c r="I544" s="155">
        <f t="shared" si="39"/>
        <v>84.020863636363643</v>
      </c>
    </row>
    <row r="545" spans="1:9" s="175" customFormat="1" x14ac:dyDescent="0.2">
      <c r="A545" s="103" t="s">
        <v>222</v>
      </c>
      <c r="B545" s="104" t="s">
        <v>395</v>
      </c>
      <c r="C545" s="104" t="s">
        <v>78</v>
      </c>
      <c r="D545" s="104" t="s">
        <v>475</v>
      </c>
      <c r="E545" s="104" t="s">
        <v>618</v>
      </c>
      <c r="F545" s="104"/>
      <c r="G545" s="105">
        <f>G546</f>
        <v>2000</v>
      </c>
      <c r="H545" s="105">
        <f>H546</f>
        <v>1848.4590000000001</v>
      </c>
      <c r="I545" s="127">
        <f t="shared" si="39"/>
        <v>92.42295</v>
      </c>
    </row>
    <row r="546" spans="1:9" s="175" customFormat="1" x14ac:dyDescent="0.2">
      <c r="A546" s="112" t="s">
        <v>294</v>
      </c>
      <c r="B546" s="113" t="s">
        <v>395</v>
      </c>
      <c r="C546" s="113" t="s">
        <v>78</v>
      </c>
      <c r="D546" s="113" t="s">
        <v>475</v>
      </c>
      <c r="E546" s="113" t="s">
        <v>618</v>
      </c>
      <c r="F546" s="113" t="s">
        <v>84</v>
      </c>
      <c r="G546" s="114">
        <f>G547</f>
        <v>2000</v>
      </c>
      <c r="H546" s="114">
        <f>H547</f>
        <v>1848.4590000000001</v>
      </c>
      <c r="I546" s="128">
        <f t="shared" si="39"/>
        <v>92.42295</v>
      </c>
    </row>
    <row r="547" spans="1:9" s="175" customFormat="1" x14ac:dyDescent="0.2">
      <c r="A547" s="112" t="s">
        <v>85</v>
      </c>
      <c r="B547" s="113" t="s">
        <v>395</v>
      </c>
      <c r="C547" s="113" t="s">
        <v>78</v>
      </c>
      <c r="D547" s="113" t="s">
        <v>475</v>
      </c>
      <c r="E547" s="113" t="s">
        <v>618</v>
      </c>
      <c r="F547" s="113" t="s">
        <v>86</v>
      </c>
      <c r="G547" s="114">
        <f>3000-962-38</f>
        <v>2000</v>
      </c>
      <c r="H547" s="114">
        <v>1848.4590000000001</v>
      </c>
      <c r="I547" s="128">
        <f t="shared" si="39"/>
        <v>92.42295</v>
      </c>
    </row>
    <row r="548" spans="1:9" s="175" customFormat="1" x14ac:dyDescent="0.2">
      <c r="A548" s="134" t="s">
        <v>136</v>
      </c>
      <c r="B548" s="104" t="s">
        <v>395</v>
      </c>
      <c r="C548" s="104" t="s">
        <v>78</v>
      </c>
      <c r="D548" s="104" t="s">
        <v>475</v>
      </c>
      <c r="E548" s="104" t="s">
        <v>619</v>
      </c>
      <c r="F548" s="104"/>
      <c r="G548" s="105">
        <f>G549</f>
        <v>200</v>
      </c>
      <c r="H548" s="127">
        <f>H549</f>
        <v>0</v>
      </c>
      <c r="I548" s="127">
        <f t="shared" si="39"/>
        <v>0</v>
      </c>
    </row>
    <row r="549" spans="1:9" s="175" customFormat="1" x14ac:dyDescent="0.2">
      <c r="A549" s="112" t="s">
        <v>294</v>
      </c>
      <c r="B549" s="113" t="s">
        <v>395</v>
      </c>
      <c r="C549" s="113" t="s">
        <v>78</v>
      </c>
      <c r="D549" s="113" t="s">
        <v>475</v>
      </c>
      <c r="E549" s="113" t="s">
        <v>619</v>
      </c>
      <c r="F549" s="113" t="s">
        <v>84</v>
      </c>
      <c r="G549" s="114">
        <f>G550</f>
        <v>200</v>
      </c>
      <c r="H549" s="128">
        <f>H550</f>
        <v>0</v>
      </c>
      <c r="I549" s="128">
        <f t="shared" si="39"/>
        <v>0</v>
      </c>
    </row>
    <row r="550" spans="1:9" s="175" customFormat="1" x14ac:dyDescent="0.2">
      <c r="A550" s="112" t="s">
        <v>85</v>
      </c>
      <c r="B550" s="113" t="s">
        <v>395</v>
      </c>
      <c r="C550" s="113" t="s">
        <v>78</v>
      </c>
      <c r="D550" s="113" t="s">
        <v>475</v>
      </c>
      <c r="E550" s="113" t="s">
        <v>619</v>
      </c>
      <c r="F550" s="113" t="s">
        <v>86</v>
      </c>
      <c r="G550" s="114">
        <v>200</v>
      </c>
      <c r="H550" s="128">
        <v>0</v>
      </c>
      <c r="I550" s="128">
        <f t="shared" si="39"/>
        <v>0</v>
      </c>
    </row>
    <row r="551" spans="1:9" s="175" customFormat="1" x14ac:dyDescent="0.2">
      <c r="A551" s="103" t="s">
        <v>358</v>
      </c>
      <c r="B551" s="104" t="s">
        <v>395</v>
      </c>
      <c r="C551" s="104" t="s">
        <v>416</v>
      </c>
      <c r="D551" s="104" t="s">
        <v>77</v>
      </c>
      <c r="E551" s="104"/>
      <c r="F551" s="104"/>
      <c r="G551" s="105">
        <f>G552+G569+G589</f>
        <v>253282.27357999998</v>
      </c>
      <c r="H551" s="105">
        <f>H552+H569+H589</f>
        <v>251306.30442000003</v>
      </c>
      <c r="I551" s="127">
        <f t="shared" si="39"/>
        <v>99.219854934152806</v>
      </c>
    </row>
    <row r="552" spans="1:9" s="175" customFormat="1" x14ac:dyDescent="0.2">
      <c r="A552" s="103" t="s">
        <v>359</v>
      </c>
      <c r="B552" s="104" t="s">
        <v>395</v>
      </c>
      <c r="C552" s="104" t="s">
        <v>416</v>
      </c>
      <c r="D552" s="104" t="s">
        <v>76</v>
      </c>
      <c r="E552" s="104"/>
      <c r="F552" s="104"/>
      <c r="G552" s="105">
        <f>G553</f>
        <v>72230.247790000009</v>
      </c>
      <c r="H552" s="105">
        <f>H553</f>
        <v>71126.324999999997</v>
      </c>
      <c r="I552" s="127">
        <f t="shared" si="39"/>
        <v>98.471661355489843</v>
      </c>
    </row>
    <row r="553" spans="1:9" s="175" customFormat="1" ht="27" x14ac:dyDescent="0.2">
      <c r="A553" s="116" t="s">
        <v>672</v>
      </c>
      <c r="B553" s="107" t="s">
        <v>395</v>
      </c>
      <c r="C553" s="107" t="s">
        <v>416</v>
      </c>
      <c r="D553" s="107" t="s">
        <v>76</v>
      </c>
      <c r="E553" s="107" t="s">
        <v>266</v>
      </c>
      <c r="F553" s="107"/>
      <c r="G553" s="108">
        <f>G554+G566+G560+G563+G557</f>
        <v>72230.247790000009</v>
      </c>
      <c r="H553" s="108">
        <f>H554+H566+H560+H563+H557</f>
        <v>71126.324999999997</v>
      </c>
      <c r="I553" s="155">
        <f t="shared" si="39"/>
        <v>98.471661355489843</v>
      </c>
    </row>
    <row r="554" spans="1:9" s="175" customFormat="1" ht="24" x14ac:dyDescent="0.2">
      <c r="A554" s="103" t="s">
        <v>480</v>
      </c>
      <c r="B554" s="104" t="s">
        <v>395</v>
      </c>
      <c r="C554" s="104" t="s">
        <v>416</v>
      </c>
      <c r="D554" s="104" t="s">
        <v>76</v>
      </c>
      <c r="E554" s="104" t="s">
        <v>620</v>
      </c>
      <c r="F554" s="104"/>
      <c r="G554" s="127">
        <f>G555</f>
        <v>1840</v>
      </c>
      <c r="H554" s="127">
        <f>H555</f>
        <v>884.32100000000003</v>
      </c>
      <c r="I554" s="127">
        <f t="shared" si="39"/>
        <v>48.060923913043482</v>
      </c>
    </row>
    <row r="555" spans="1:9" s="175" customFormat="1" x14ac:dyDescent="0.2">
      <c r="A555" s="112" t="s">
        <v>294</v>
      </c>
      <c r="B555" s="113" t="s">
        <v>395</v>
      </c>
      <c r="C555" s="113" t="s">
        <v>416</v>
      </c>
      <c r="D555" s="113" t="s">
        <v>76</v>
      </c>
      <c r="E555" s="113" t="s">
        <v>620</v>
      </c>
      <c r="F555" s="113" t="s">
        <v>84</v>
      </c>
      <c r="G555" s="128">
        <f>G556</f>
        <v>1840</v>
      </c>
      <c r="H555" s="128">
        <f>H556</f>
        <v>884.32100000000003</v>
      </c>
      <c r="I555" s="128">
        <f t="shared" si="39"/>
        <v>48.060923913043482</v>
      </c>
    </row>
    <row r="556" spans="1:9" s="175" customFormat="1" x14ac:dyDescent="0.2">
      <c r="A556" s="112" t="s">
        <v>85</v>
      </c>
      <c r="B556" s="113" t="s">
        <v>395</v>
      </c>
      <c r="C556" s="113" t="s">
        <v>416</v>
      </c>
      <c r="D556" s="113" t="s">
        <v>76</v>
      </c>
      <c r="E556" s="113" t="s">
        <v>620</v>
      </c>
      <c r="F556" s="113" t="s">
        <v>86</v>
      </c>
      <c r="G556" s="128">
        <f>2000-160</f>
        <v>1840</v>
      </c>
      <c r="H556" s="128">
        <v>884.32100000000003</v>
      </c>
      <c r="I556" s="128">
        <f t="shared" si="39"/>
        <v>48.060923913043482</v>
      </c>
    </row>
    <row r="557" spans="1:9" s="175" customFormat="1" x14ac:dyDescent="0.2">
      <c r="A557" s="134" t="s">
        <v>136</v>
      </c>
      <c r="B557" s="104" t="s">
        <v>395</v>
      </c>
      <c r="C557" s="104" t="s">
        <v>416</v>
      </c>
      <c r="D557" s="104" t="s">
        <v>76</v>
      </c>
      <c r="E557" s="104" t="s">
        <v>619</v>
      </c>
      <c r="F557" s="104"/>
      <c r="G557" s="127">
        <f>G558</f>
        <v>160</v>
      </c>
      <c r="H557" s="127">
        <f>H558</f>
        <v>50</v>
      </c>
      <c r="I557" s="127">
        <f t="shared" si="39"/>
        <v>31.25</v>
      </c>
    </row>
    <row r="558" spans="1:9" s="175" customFormat="1" x14ac:dyDescent="0.2">
      <c r="A558" s="112" t="s">
        <v>294</v>
      </c>
      <c r="B558" s="113" t="s">
        <v>395</v>
      </c>
      <c r="C558" s="113" t="s">
        <v>416</v>
      </c>
      <c r="D558" s="113" t="s">
        <v>76</v>
      </c>
      <c r="E558" s="113" t="s">
        <v>619</v>
      </c>
      <c r="F558" s="113" t="s">
        <v>84</v>
      </c>
      <c r="G558" s="128">
        <f>G559</f>
        <v>160</v>
      </c>
      <c r="H558" s="128">
        <f>H559</f>
        <v>50</v>
      </c>
      <c r="I558" s="128">
        <f t="shared" si="39"/>
        <v>31.25</v>
      </c>
    </row>
    <row r="559" spans="1:9" s="175" customFormat="1" x14ac:dyDescent="0.2">
      <c r="A559" s="112" t="s">
        <v>85</v>
      </c>
      <c r="B559" s="113" t="s">
        <v>395</v>
      </c>
      <c r="C559" s="113" t="s">
        <v>416</v>
      </c>
      <c r="D559" s="113" t="s">
        <v>76</v>
      </c>
      <c r="E559" s="113" t="s">
        <v>619</v>
      </c>
      <c r="F559" s="113" t="s">
        <v>86</v>
      </c>
      <c r="G559" s="128">
        <v>160</v>
      </c>
      <c r="H559" s="128">
        <v>50</v>
      </c>
      <c r="I559" s="128">
        <f t="shared" si="39"/>
        <v>31.25</v>
      </c>
    </row>
    <row r="560" spans="1:9" s="175" customFormat="1" ht="67.5" x14ac:dyDescent="0.2">
      <c r="A560" s="151" t="s">
        <v>727</v>
      </c>
      <c r="B560" s="107" t="s">
        <v>395</v>
      </c>
      <c r="C560" s="107" t="s">
        <v>416</v>
      </c>
      <c r="D560" s="107" t="s">
        <v>76</v>
      </c>
      <c r="E560" s="107" t="s">
        <v>728</v>
      </c>
      <c r="F560" s="107"/>
      <c r="G560" s="108">
        <f>G561</f>
        <v>54171.156999999999</v>
      </c>
      <c r="H560" s="108">
        <f>H561</f>
        <v>54171.156999999999</v>
      </c>
      <c r="I560" s="129">
        <f t="shared" si="39"/>
        <v>100</v>
      </c>
    </row>
    <row r="561" spans="1:9" s="175" customFormat="1" x14ac:dyDescent="0.2">
      <c r="A561" s="112" t="s">
        <v>221</v>
      </c>
      <c r="B561" s="113" t="s">
        <v>395</v>
      </c>
      <c r="C561" s="113" t="s">
        <v>416</v>
      </c>
      <c r="D561" s="113" t="s">
        <v>76</v>
      </c>
      <c r="E561" s="113" t="s">
        <v>728</v>
      </c>
      <c r="F561" s="113" t="s">
        <v>418</v>
      </c>
      <c r="G561" s="114">
        <f>G562</f>
        <v>54171.156999999999</v>
      </c>
      <c r="H561" s="114">
        <f>H562</f>
        <v>54171.156999999999</v>
      </c>
      <c r="I561" s="128">
        <f t="shared" si="39"/>
        <v>100</v>
      </c>
    </row>
    <row r="562" spans="1:9" s="175" customFormat="1" x14ac:dyDescent="0.2">
      <c r="A562" s="112" t="s">
        <v>419</v>
      </c>
      <c r="B562" s="113" t="s">
        <v>395</v>
      </c>
      <c r="C562" s="113" t="s">
        <v>416</v>
      </c>
      <c r="D562" s="113" t="s">
        <v>76</v>
      </c>
      <c r="E562" s="113" t="s">
        <v>728</v>
      </c>
      <c r="F562" s="113" t="s">
        <v>420</v>
      </c>
      <c r="G562" s="114">
        <v>54171.156999999999</v>
      </c>
      <c r="H562" s="114">
        <v>54171.156999999999</v>
      </c>
      <c r="I562" s="128">
        <f t="shared" si="39"/>
        <v>100</v>
      </c>
    </row>
    <row r="563" spans="1:9" s="175" customFormat="1" ht="54" x14ac:dyDescent="0.2">
      <c r="A563" s="116" t="s">
        <v>729</v>
      </c>
      <c r="B563" s="107" t="s">
        <v>395</v>
      </c>
      <c r="C563" s="107" t="s">
        <v>416</v>
      </c>
      <c r="D563" s="107" t="s">
        <v>76</v>
      </c>
      <c r="E563" s="107" t="s">
        <v>730</v>
      </c>
      <c r="F563" s="107"/>
      <c r="G563" s="108">
        <f>G564</f>
        <v>2759.0907900000002</v>
      </c>
      <c r="H563" s="108">
        <f>H564</f>
        <v>2759.0907900000002</v>
      </c>
      <c r="I563" s="155">
        <f t="shared" si="39"/>
        <v>100</v>
      </c>
    </row>
    <row r="564" spans="1:9" s="175" customFormat="1" x14ac:dyDescent="0.2">
      <c r="A564" s="112" t="s">
        <v>221</v>
      </c>
      <c r="B564" s="113" t="s">
        <v>395</v>
      </c>
      <c r="C564" s="113" t="s">
        <v>416</v>
      </c>
      <c r="D564" s="113" t="s">
        <v>76</v>
      </c>
      <c r="E564" s="113" t="s">
        <v>730</v>
      </c>
      <c r="F564" s="113" t="s">
        <v>418</v>
      </c>
      <c r="G564" s="114">
        <f>G565</f>
        <v>2759.0907900000002</v>
      </c>
      <c r="H564" s="114">
        <f>H565</f>
        <v>2759.0907900000002</v>
      </c>
      <c r="I564" s="128">
        <f t="shared" si="39"/>
        <v>100</v>
      </c>
    </row>
    <row r="565" spans="1:9" s="175" customFormat="1" x14ac:dyDescent="0.2">
      <c r="A565" s="112" t="s">
        <v>419</v>
      </c>
      <c r="B565" s="113" t="s">
        <v>395</v>
      </c>
      <c r="C565" s="113" t="s">
        <v>416</v>
      </c>
      <c r="D565" s="113" t="s">
        <v>76</v>
      </c>
      <c r="E565" s="113" t="s">
        <v>730</v>
      </c>
      <c r="F565" s="113" t="s">
        <v>420</v>
      </c>
      <c r="G565" s="114">
        <v>2759.0907900000002</v>
      </c>
      <c r="H565" s="114">
        <v>2759.0907900000002</v>
      </c>
      <c r="I565" s="128">
        <f t="shared" si="39"/>
        <v>100</v>
      </c>
    </row>
    <row r="566" spans="1:9" s="175" customFormat="1" ht="24" x14ac:dyDescent="0.2">
      <c r="A566" s="103" t="s">
        <v>615</v>
      </c>
      <c r="B566" s="104" t="s">
        <v>395</v>
      </c>
      <c r="C566" s="104" t="s">
        <v>416</v>
      </c>
      <c r="D566" s="104" t="s">
        <v>76</v>
      </c>
      <c r="E566" s="104" t="s">
        <v>616</v>
      </c>
      <c r="F566" s="104"/>
      <c r="G566" s="105">
        <f>G567</f>
        <v>13300</v>
      </c>
      <c r="H566" s="105">
        <f>H567</f>
        <v>13261.75621</v>
      </c>
      <c r="I566" s="127">
        <f t="shared" si="39"/>
        <v>99.712452706766925</v>
      </c>
    </row>
    <row r="567" spans="1:9" s="175" customFormat="1" x14ac:dyDescent="0.2">
      <c r="A567" s="112" t="s">
        <v>221</v>
      </c>
      <c r="B567" s="113" t="s">
        <v>395</v>
      </c>
      <c r="C567" s="113" t="s">
        <v>416</v>
      </c>
      <c r="D567" s="113" t="s">
        <v>76</v>
      </c>
      <c r="E567" s="113" t="s">
        <v>616</v>
      </c>
      <c r="F567" s="113" t="s">
        <v>418</v>
      </c>
      <c r="G567" s="114">
        <f>G568</f>
        <v>13300</v>
      </c>
      <c r="H567" s="114">
        <f>H568</f>
        <v>13261.75621</v>
      </c>
      <c r="I567" s="128">
        <f t="shared" si="39"/>
        <v>99.712452706766925</v>
      </c>
    </row>
    <row r="568" spans="1:9" s="175" customFormat="1" x14ac:dyDescent="0.2">
      <c r="A568" s="112" t="s">
        <v>419</v>
      </c>
      <c r="B568" s="113" t="s">
        <v>395</v>
      </c>
      <c r="C568" s="113" t="s">
        <v>416</v>
      </c>
      <c r="D568" s="113" t="s">
        <v>76</v>
      </c>
      <c r="E568" s="113" t="s">
        <v>616</v>
      </c>
      <c r="F568" s="113" t="s">
        <v>420</v>
      </c>
      <c r="G568" s="114">
        <v>13300</v>
      </c>
      <c r="H568" s="114">
        <v>13261.75621</v>
      </c>
      <c r="I568" s="128">
        <f t="shared" si="39"/>
        <v>99.712452706766925</v>
      </c>
    </row>
    <row r="569" spans="1:9" s="175" customFormat="1" x14ac:dyDescent="0.2">
      <c r="A569" s="103" t="s">
        <v>362</v>
      </c>
      <c r="B569" s="104" t="s">
        <v>395</v>
      </c>
      <c r="C569" s="104" t="s">
        <v>416</v>
      </c>
      <c r="D569" s="104" t="s">
        <v>469</v>
      </c>
      <c r="E569" s="113"/>
      <c r="F569" s="113"/>
      <c r="G569" s="105">
        <f>G570</f>
        <v>174206.32699999999</v>
      </c>
      <c r="H569" s="105">
        <f>H570</f>
        <v>173758.90480000002</v>
      </c>
      <c r="I569" s="127">
        <f t="shared" si="39"/>
        <v>99.743165355871383</v>
      </c>
    </row>
    <row r="570" spans="1:9" s="175" customFormat="1" ht="27" x14ac:dyDescent="0.2">
      <c r="A570" s="116" t="s">
        <v>672</v>
      </c>
      <c r="B570" s="107" t="s">
        <v>395</v>
      </c>
      <c r="C570" s="107" t="s">
        <v>416</v>
      </c>
      <c r="D570" s="107" t="s">
        <v>469</v>
      </c>
      <c r="E570" s="107" t="s">
        <v>266</v>
      </c>
      <c r="F570" s="107"/>
      <c r="G570" s="108">
        <f>G571+G574+G577+G580+G583+G586</f>
        <v>174206.32699999999</v>
      </c>
      <c r="H570" s="108">
        <f>H571+H574+H577+H580+H583+H586</f>
        <v>173758.90480000002</v>
      </c>
      <c r="I570" s="155">
        <f t="shared" si="39"/>
        <v>99.743165355871383</v>
      </c>
    </row>
    <row r="571" spans="1:9" s="175" customFormat="1" x14ac:dyDescent="0.2">
      <c r="A571" s="134" t="s">
        <v>621</v>
      </c>
      <c r="B571" s="104" t="s">
        <v>395</v>
      </c>
      <c r="C571" s="104" t="s">
        <v>416</v>
      </c>
      <c r="D571" s="104" t="s">
        <v>469</v>
      </c>
      <c r="E571" s="104" t="s">
        <v>622</v>
      </c>
      <c r="F571" s="104"/>
      <c r="G571" s="105">
        <f>G572</f>
        <v>10000</v>
      </c>
      <c r="H571" s="105">
        <f>H572</f>
        <v>9814.3773000000001</v>
      </c>
      <c r="I571" s="127">
        <f t="shared" si="39"/>
        <v>98.143772999999996</v>
      </c>
    </row>
    <row r="572" spans="1:9" s="175" customFormat="1" x14ac:dyDescent="0.2">
      <c r="A572" s="112" t="s">
        <v>184</v>
      </c>
      <c r="B572" s="113" t="s">
        <v>395</v>
      </c>
      <c r="C572" s="113" t="s">
        <v>416</v>
      </c>
      <c r="D572" s="113" t="s">
        <v>469</v>
      </c>
      <c r="E572" s="113" t="s">
        <v>622</v>
      </c>
      <c r="F572" s="113" t="s">
        <v>84</v>
      </c>
      <c r="G572" s="114">
        <f>G573</f>
        <v>10000</v>
      </c>
      <c r="H572" s="114">
        <f>H573</f>
        <v>9814.3773000000001</v>
      </c>
      <c r="I572" s="128">
        <f t="shared" si="39"/>
        <v>98.143772999999996</v>
      </c>
    </row>
    <row r="573" spans="1:9" s="175" customFormat="1" x14ac:dyDescent="0.2">
      <c r="A573" s="112" t="s">
        <v>85</v>
      </c>
      <c r="B573" s="113" t="s">
        <v>395</v>
      </c>
      <c r="C573" s="113" t="s">
        <v>416</v>
      </c>
      <c r="D573" s="113" t="s">
        <v>469</v>
      </c>
      <c r="E573" s="113" t="s">
        <v>622</v>
      </c>
      <c r="F573" s="113" t="s">
        <v>86</v>
      </c>
      <c r="G573" s="114">
        <v>10000</v>
      </c>
      <c r="H573" s="114">
        <v>9814.3773000000001</v>
      </c>
      <c r="I573" s="128">
        <f t="shared" si="39"/>
        <v>98.143772999999996</v>
      </c>
    </row>
    <row r="574" spans="1:9" s="175" customFormat="1" x14ac:dyDescent="0.2">
      <c r="A574" s="103" t="s">
        <v>623</v>
      </c>
      <c r="B574" s="104" t="s">
        <v>395</v>
      </c>
      <c r="C574" s="104" t="s">
        <v>416</v>
      </c>
      <c r="D574" s="104" t="s">
        <v>469</v>
      </c>
      <c r="E574" s="104" t="s">
        <v>624</v>
      </c>
      <c r="F574" s="104"/>
      <c r="G574" s="105">
        <f>G575</f>
        <v>2706.3270000000002</v>
      </c>
      <c r="H574" s="105">
        <f>H575</f>
        <v>2706.3270000000002</v>
      </c>
      <c r="I574" s="127">
        <f t="shared" si="39"/>
        <v>100</v>
      </c>
    </row>
    <row r="575" spans="1:9" s="175" customFormat="1" x14ac:dyDescent="0.2">
      <c r="A575" s="112" t="s">
        <v>184</v>
      </c>
      <c r="B575" s="113" t="s">
        <v>395</v>
      </c>
      <c r="C575" s="113" t="s">
        <v>416</v>
      </c>
      <c r="D575" s="113" t="s">
        <v>469</v>
      </c>
      <c r="E575" s="113" t="s">
        <v>624</v>
      </c>
      <c r="F575" s="113" t="s">
        <v>84</v>
      </c>
      <c r="G575" s="114">
        <f>G576</f>
        <v>2706.3270000000002</v>
      </c>
      <c r="H575" s="114">
        <f>H576</f>
        <v>2706.3270000000002</v>
      </c>
      <c r="I575" s="128">
        <f t="shared" si="39"/>
        <v>100</v>
      </c>
    </row>
    <row r="576" spans="1:9" s="175" customFormat="1" x14ac:dyDescent="0.2">
      <c r="A576" s="112" t="s">
        <v>85</v>
      </c>
      <c r="B576" s="113" t="s">
        <v>395</v>
      </c>
      <c r="C576" s="113" t="s">
        <v>416</v>
      </c>
      <c r="D576" s="113" t="s">
        <v>469</v>
      </c>
      <c r="E576" s="113" t="s">
        <v>624</v>
      </c>
      <c r="F576" s="113" t="s">
        <v>86</v>
      </c>
      <c r="G576" s="114">
        <f>3600-893.673</f>
        <v>2706.3270000000002</v>
      </c>
      <c r="H576" s="114">
        <v>2706.3270000000002</v>
      </c>
      <c r="I576" s="128">
        <f t="shared" si="39"/>
        <v>100</v>
      </c>
    </row>
    <row r="577" spans="1:9" s="175" customFormat="1" x14ac:dyDescent="0.2">
      <c r="A577" s="134" t="s">
        <v>136</v>
      </c>
      <c r="B577" s="104" t="s">
        <v>395</v>
      </c>
      <c r="C577" s="104" t="s">
        <v>416</v>
      </c>
      <c r="D577" s="104" t="s">
        <v>469</v>
      </c>
      <c r="E577" s="104" t="s">
        <v>619</v>
      </c>
      <c r="F577" s="104"/>
      <c r="G577" s="127">
        <f>G578</f>
        <v>500</v>
      </c>
      <c r="H577" s="127">
        <f>H578</f>
        <v>358.37849999999997</v>
      </c>
      <c r="I577" s="127">
        <f t="shared" si="39"/>
        <v>71.675699999999992</v>
      </c>
    </row>
    <row r="578" spans="1:9" s="175" customFormat="1" x14ac:dyDescent="0.2">
      <c r="A578" s="112" t="s">
        <v>294</v>
      </c>
      <c r="B578" s="113" t="s">
        <v>395</v>
      </c>
      <c r="C578" s="113" t="s">
        <v>416</v>
      </c>
      <c r="D578" s="113" t="s">
        <v>469</v>
      </c>
      <c r="E578" s="113" t="s">
        <v>619</v>
      </c>
      <c r="F578" s="113" t="s">
        <v>84</v>
      </c>
      <c r="G578" s="128">
        <f>G579</f>
        <v>500</v>
      </c>
      <c r="H578" s="128">
        <f>H579</f>
        <v>358.37849999999997</v>
      </c>
      <c r="I578" s="128">
        <f t="shared" si="39"/>
        <v>71.675699999999992</v>
      </c>
    </row>
    <row r="579" spans="1:9" s="175" customFormat="1" x14ac:dyDescent="0.2">
      <c r="A579" s="112" t="s">
        <v>85</v>
      </c>
      <c r="B579" s="113" t="s">
        <v>395</v>
      </c>
      <c r="C579" s="113" t="s">
        <v>416</v>
      </c>
      <c r="D579" s="113" t="s">
        <v>469</v>
      </c>
      <c r="E579" s="113" t="s">
        <v>619</v>
      </c>
      <c r="F579" s="113" t="s">
        <v>86</v>
      </c>
      <c r="G579" s="128">
        <v>500</v>
      </c>
      <c r="H579" s="128">
        <v>358.37849999999997</v>
      </c>
      <c r="I579" s="128">
        <f t="shared" si="39"/>
        <v>71.675699999999992</v>
      </c>
    </row>
    <row r="580" spans="1:9" s="175" customFormat="1" x14ac:dyDescent="0.2">
      <c r="A580" s="103" t="s">
        <v>681</v>
      </c>
      <c r="B580" s="104" t="s">
        <v>395</v>
      </c>
      <c r="C580" s="104" t="s">
        <v>416</v>
      </c>
      <c r="D580" s="104" t="s">
        <v>469</v>
      </c>
      <c r="E580" s="104" t="s">
        <v>678</v>
      </c>
      <c r="F580" s="104"/>
      <c r="G580" s="127">
        <f>G581</f>
        <v>100000</v>
      </c>
      <c r="H580" s="127">
        <f>H581</f>
        <v>100000</v>
      </c>
      <c r="I580" s="127">
        <f t="shared" si="39"/>
        <v>100</v>
      </c>
    </row>
    <row r="581" spans="1:9" s="175" customFormat="1" x14ac:dyDescent="0.2">
      <c r="A581" s="112" t="s">
        <v>184</v>
      </c>
      <c r="B581" s="113" t="s">
        <v>395</v>
      </c>
      <c r="C581" s="113" t="s">
        <v>416</v>
      </c>
      <c r="D581" s="113" t="s">
        <v>469</v>
      </c>
      <c r="E581" s="113" t="s">
        <v>678</v>
      </c>
      <c r="F581" s="113" t="s">
        <v>84</v>
      </c>
      <c r="G581" s="128">
        <f>G582</f>
        <v>100000</v>
      </c>
      <c r="H581" s="128">
        <f>H582</f>
        <v>100000</v>
      </c>
      <c r="I581" s="128">
        <f t="shared" si="39"/>
        <v>100</v>
      </c>
    </row>
    <row r="582" spans="1:9" s="175" customFormat="1" x14ac:dyDescent="0.2">
      <c r="A582" s="112" t="s">
        <v>85</v>
      </c>
      <c r="B582" s="113" t="s">
        <v>395</v>
      </c>
      <c r="C582" s="113" t="s">
        <v>416</v>
      </c>
      <c r="D582" s="113" t="s">
        <v>469</v>
      </c>
      <c r="E582" s="113" t="s">
        <v>678</v>
      </c>
      <c r="F582" s="113" t="s">
        <v>86</v>
      </c>
      <c r="G582" s="128">
        <v>100000</v>
      </c>
      <c r="H582" s="128">
        <v>100000</v>
      </c>
      <c r="I582" s="128">
        <f t="shared" si="39"/>
        <v>100</v>
      </c>
    </row>
    <row r="583" spans="1:9" s="175" customFormat="1" x14ac:dyDescent="0.2">
      <c r="A583" s="103" t="s">
        <v>682</v>
      </c>
      <c r="B583" s="104" t="s">
        <v>395</v>
      </c>
      <c r="C583" s="104" t="s">
        <v>416</v>
      </c>
      <c r="D583" s="104" t="s">
        <v>469</v>
      </c>
      <c r="E583" s="104" t="s">
        <v>683</v>
      </c>
      <c r="F583" s="104"/>
      <c r="G583" s="127">
        <f>G584</f>
        <v>50000</v>
      </c>
      <c r="H583" s="127">
        <f>H584</f>
        <v>49879.822</v>
      </c>
      <c r="I583" s="127">
        <f t="shared" si="39"/>
        <v>99.759644000000009</v>
      </c>
    </row>
    <row r="584" spans="1:9" s="175" customFormat="1" x14ac:dyDescent="0.2">
      <c r="A584" s="112" t="s">
        <v>184</v>
      </c>
      <c r="B584" s="113" t="s">
        <v>395</v>
      </c>
      <c r="C584" s="113" t="s">
        <v>416</v>
      </c>
      <c r="D584" s="113" t="s">
        <v>469</v>
      </c>
      <c r="E584" s="113" t="s">
        <v>683</v>
      </c>
      <c r="F584" s="113" t="s">
        <v>84</v>
      </c>
      <c r="G584" s="128">
        <f>G585</f>
        <v>50000</v>
      </c>
      <c r="H584" s="128">
        <f>H585</f>
        <v>49879.822</v>
      </c>
      <c r="I584" s="128">
        <f t="shared" si="39"/>
        <v>99.759644000000009</v>
      </c>
    </row>
    <row r="585" spans="1:9" s="175" customFormat="1" x14ac:dyDescent="0.2">
      <c r="A585" s="112" t="s">
        <v>85</v>
      </c>
      <c r="B585" s="113" t="s">
        <v>395</v>
      </c>
      <c r="C585" s="113" t="s">
        <v>416</v>
      </c>
      <c r="D585" s="113" t="s">
        <v>469</v>
      </c>
      <c r="E585" s="113" t="s">
        <v>683</v>
      </c>
      <c r="F585" s="113" t="s">
        <v>86</v>
      </c>
      <c r="G585" s="128">
        <v>50000</v>
      </c>
      <c r="H585" s="128">
        <v>49879.822</v>
      </c>
      <c r="I585" s="128">
        <f t="shared" si="39"/>
        <v>99.759644000000009</v>
      </c>
    </row>
    <row r="586" spans="1:9" s="175" customFormat="1" ht="24" x14ac:dyDescent="0.2">
      <c r="A586" s="103" t="s">
        <v>735</v>
      </c>
      <c r="B586" s="104" t="s">
        <v>395</v>
      </c>
      <c r="C586" s="104" t="s">
        <v>416</v>
      </c>
      <c r="D586" s="104" t="s">
        <v>469</v>
      </c>
      <c r="E586" s="104" t="s">
        <v>736</v>
      </c>
      <c r="F586" s="113"/>
      <c r="G586" s="127">
        <f>G587</f>
        <v>11000</v>
      </c>
      <c r="H586" s="127">
        <f>H587</f>
        <v>11000</v>
      </c>
      <c r="I586" s="127">
        <f t="shared" si="39"/>
        <v>100</v>
      </c>
    </row>
    <row r="587" spans="1:9" s="175" customFormat="1" x14ac:dyDescent="0.2">
      <c r="A587" s="112" t="s">
        <v>184</v>
      </c>
      <c r="B587" s="113" t="s">
        <v>395</v>
      </c>
      <c r="C587" s="113" t="s">
        <v>416</v>
      </c>
      <c r="D587" s="113" t="s">
        <v>469</v>
      </c>
      <c r="E587" s="113" t="s">
        <v>736</v>
      </c>
      <c r="F587" s="113" t="s">
        <v>84</v>
      </c>
      <c r="G587" s="128">
        <f>G588</f>
        <v>11000</v>
      </c>
      <c r="H587" s="128">
        <f>H588</f>
        <v>11000</v>
      </c>
      <c r="I587" s="128">
        <f t="shared" si="39"/>
        <v>100</v>
      </c>
    </row>
    <row r="588" spans="1:9" s="175" customFormat="1" x14ac:dyDescent="0.2">
      <c r="A588" s="112" t="s">
        <v>85</v>
      </c>
      <c r="B588" s="113" t="s">
        <v>395</v>
      </c>
      <c r="C588" s="113" t="s">
        <v>416</v>
      </c>
      <c r="D588" s="113" t="s">
        <v>469</v>
      </c>
      <c r="E588" s="113" t="s">
        <v>736</v>
      </c>
      <c r="F588" s="113" t="s">
        <v>86</v>
      </c>
      <c r="G588" s="128">
        <v>11000</v>
      </c>
      <c r="H588" s="128">
        <v>11000</v>
      </c>
      <c r="I588" s="128">
        <f t="shared" si="39"/>
        <v>100</v>
      </c>
    </row>
    <row r="589" spans="1:9" s="175" customFormat="1" x14ac:dyDescent="0.2">
      <c r="A589" s="103" t="s">
        <v>363</v>
      </c>
      <c r="B589" s="104" t="s">
        <v>395</v>
      </c>
      <c r="C589" s="104" t="s">
        <v>416</v>
      </c>
      <c r="D589" s="104" t="s">
        <v>416</v>
      </c>
      <c r="E589" s="104"/>
      <c r="F589" s="104"/>
      <c r="G589" s="105">
        <f t="shared" ref="G589:H591" si="40">G590</f>
        <v>6845.6987900000004</v>
      </c>
      <c r="H589" s="105">
        <f t="shared" si="40"/>
        <v>6421.0746200000003</v>
      </c>
      <c r="I589" s="127">
        <f t="shared" si="39"/>
        <v>93.797212190809816</v>
      </c>
    </row>
    <row r="590" spans="1:9" s="175" customFormat="1" ht="24" x14ac:dyDescent="0.2">
      <c r="A590" s="117" t="s">
        <v>393</v>
      </c>
      <c r="B590" s="118" t="s">
        <v>395</v>
      </c>
      <c r="C590" s="118" t="s">
        <v>416</v>
      </c>
      <c r="D590" s="118" t="s">
        <v>416</v>
      </c>
      <c r="E590" s="118"/>
      <c r="F590" s="118"/>
      <c r="G590" s="119">
        <f t="shared" si="40"/>
        <v>6845.6987900000004</v>
      </c>
      <c r="H590" s="119">
        <f t="shared" si="40"/>
        <v>6421.0746200000003</v>
      </c>
      <c r="I590" s="129">
        <f t="shared" si="39"/>
        <v>93.797212190809816</v>
      </c>
    </row>
    <row r="591" spans="1:9" s="175" customFormat="1" x14ac:dyDescent="0.2">
      <c r="A591" s="138" t="s">
        <v>74</v>
      </c>
      <c r="B591" s="118" t="s">
        <v>395</v>
      </c>
      <c r="C591" s="118" t="s">
        <v>416</v>
      </c>
      <c r="D591" s="118" t="s">
        <v>416</v>
      </c>
      <c r="E591" s="118" t="s">
        <v>209</v>
      </c>
      <c r="F591" s="118"/>
      <c r="G591" s="119">
        <f t="shared" si="40"/>
        <v>6845.6987900000004</v>
      </c>
      <c r="H591" s="119">
        <f t="shared" si="40"/>
        <v>6421.0746200000003</v>
      </c>
      <c r="I591" s="129">
        <f t="shared" si="39"/>
        <v>93.797212190809816</v>
      </c>
    </row>
    <row r="592" spans="1:9" s="175" customFormat="1" x14ac:dyDescent="0.2">
      <c r="A592" s="120" t="s">
        <v>297</v>
      </c>
      <c r="B592" s="104" t="s">
        <v>395</v>
      </c>
      <c r="C592" s="104" t="s">
        <v>416</v>
      </c>
      <c r="D592" s="104" t="s">
        <v>416</v>
      </c>
      <c r="E592" s="104" t="s">
        <v>210</v>
      </c>
      <c r="F592" s="113"/>
      <c r="G592" s="105">
        <f>G593+G596+G601</f>
        <v>6845.6987900000004</v>
      </c>
      <c r="H592" s="105">
        <f>H593+H596+H601</f>
        <v>6421.0746200000003</v>
      </c>
      <c r="I592" s="127">
        <f t="shared" si="39"/>
        <v>93.797212190809816</v>
      </c>
    </row>
    <row r="593" spans="1:9" s="175" customFormat="1" x14ac:dyDescent="0.2">
      <c r="A593" s="120" t="s">
        <v>375</v>
      </c>
      <c r="B593" s="104" t="s">
        <v>395</v>
      </c>
      <c r="C593" s="104" t="s">
        <v>416</v>
      </c>
      <c r="D593" s="104" t="s">
        <v>416</v>
      </c>
      <c r="E593" s="104" t="s">
        <v>211</v>
      </c>
      <c r="F593" s="104"/>
      <c r="G593" s="105">
        <f>G594</f>
        <v>5670</v>
      </c>
      <c r="H593" s="105">
        <f>H594</f>
        <v>5448.88465</v>
      </c>
      <c r="I593" s="127">
        <f t="shared" ref="I593:I656" si="41">H593/G593*100</f>
        <v>96.100258377425035</v>
      </c>
    </row>
    <row r="594" spans="1:9" s="175" customFormat="1" ht="36" x14ac:dyDescent="0.2">
      <c r="A594" s="112" t="s">
        <v>79</v>
      </c>
      <c r="B594" s="113" t="s">
        <v>395</v>
      </c>
      <c r="C594" s="113" t="s">
        <v>416</v>
      </c>
      <c r="D594" s="113" t="s">
        <v>416</v>
      </c>
      <c r="E594" s="113" t="s">
        <v>211</v>
      </c>
      <c r="F594" s="113" t="s">
        <v>80</v>
      </c>
      <c r="G594" s="114">
        <f>G595</f>
        <v>5670</v>
      </c>
      <c r="H594" s="114">
        <f>H595</f>
        <v>5448.88465</v>
      </c>
      <c r="I594" s="128">
        <f t="shared" si="41"/>
        <v>96.100258377425035</v>
      </c>
    </row>
    <row r="595" spans="1:9" s="175" customFormat="1" x14ac:dyDescent="0.2">
      <c r="A595" s="112" t="s">
        <v>81</v>
      </c>
      <c r="B595" s="113" t="s">
        <v>395</v>
      </c>
      <c r="C595" s="113" t="s">
        <v>416</v>
      </c>
      <c r="D595" s="113" t="s">
        <v>416</v>
      </c>
      <c r="E595" s="113" t="s">
        <v>211</v>
      </c>
      <c r="F595" s="113" t="s">
        <v>82</v>
      </c>
      <c r="G595" s="114">
        <f>4300+20+1300+20+30</f>
        <v>5670</v>
      </c>
      <c r="H595" s="114">
        <v>5448.88465</v>
      </c>
      <c r="I595" s="128">
        <f t="shared" si="41"/>
        <v>96.100258377425035</v>
      </c>
    </row>
    <row r="596" spans="1:9" s="175" customFormat="1" x14ac:dyDescent="0.2">
      <c r="A596" s="103" t="s">
        <v>83</v>
      </c>
      <c r="B596" s="104" t="s">
        <v>395</v>
      </c>
      <c r="C596" s="104" t="s">
        <v>416</v>
      </c>
      <c r="D596" s="104" t="s">
        <v>416</v>
      </c>
      <c r="E596" s="104" t="s">
        <v>212</v>
      </c>
      <c r="F596" s="104"/>
      <c r="G596" s="105">
        <f>G597+G599</f>
        <v>960</v>
      </c>
      <c r="H596" s="105">
        <f>H597+H599</f>
        <v>769.57814999999994</v>
      </c>
      <c r="I596" s="127">
        <f t="shared" si="41"/>
        <v>80.164390624999996</v>
      </c>
    </row>
    <row r="597" spans="1:9" s="175" customFormat="1" x14ac:dyDescent="0.2">
      <c r="A597" s="112" t="s">
        <v>294</v>
      </c>
      <c r="B597" s="113" t="s">
        <v>395</v>
      </c>
      <c r="C597" s="113" t="s">
        <v>416</v>
      </c>
      <c r="D597" s="113" t="s">
        <v>416</v>
      </c>
      <c r="E597" s="113" t="s">
        <v>212</v>
      </c>
      <c r="F597" s="113" t="s">
        <v>84</v>
      </c>
      <c r="G597" s="114">
        <f>G598</f>
        <v>810</v>
      </c>
      <c r="H597" s="114">
        <f>H598</f>
        <v>762.90926999999999</v>
      </c>
      <c r="I597" s="128">
        <f t="shared" si="41"/>
        <v>94.186329629629626</v>
      </c>
    </row>
    <row r="598" spans="1:9" s="175" customFormat="1" x14ac:dyDescent="0.2">
      <c r="A598" s="112" t="s">
        <v>85</v>
      </c>
      <c r="B598" s="113" t="s">
        <v>395</v>
      </c>
      <c r="C598" s="113" t="s">
        <v>416</v>
      </c>
      <c r="D598" s="113" t="s">
        <v>416</v>
      </c>
      <c r="E598" s="113" t="s">
        <v>212</v>
      </c>
      <c r="F598" s="113" t="s">
        <v>86</v>
      </c>
      <c r="G598" s="114">
        <f>60+50+300+300+100</f>
        <v>810</v>
      </c>
      <c r="H598" s="114">
        <v>762.90926999999999</v>
      </c>
      <c r="I598" s="128">
        <f t="shared" si="41"/>
        <v>94.186329629629626</v>
      </c>
    </row>
    <row r="599" spans="1:9" s="175" customFormat="1" x14ac:dyDescent="0.2">
      <c r="A599" s="112" t="s">
        <v>87</v>
      </c>
      <c r="B599" s="113" t="s">
        <v>395</v>
      </c>
      <c r="C599" s="113" t="s">
        <v>416</v>
      </c>
      <c r="D599" s="113" t="s">
        <v>416</v>
      </c>
      <c r="E599" s="113" t="s">
        <v>212</v>
      </c>
      <c r="F599" s="113" t="s">
        <v>88</v>
      </c>
      <c r="G599" s="114">
        <f>G600</f>
        <v>150</v>
      </c>
      <c r="H599" s="114">
        <f>H600</f>
        <v>6.6688799999999997</v>
      </c>
      <c r="I599" s="128">
        <f t="shared" si="41"/>
        <v>4.4459200000000001</v>
      </c>
    </row>
    <row r="600" spans="1:9" s="175" customFormat="1" x14ac:dyDescent="0.2">
      <c r="A600" s="112" t="s">
        <v>500</v>
      </c>
      <c r="B600" s="113" t="s">
        <v>395</v>
      </c>
      <c r="C600" s="113" t="s">
        <v>416</v>
      </c>
      <c r="D600" s="113" t="s">
        <v>416</v>
      </c>
      <c r="E600" s="113" t="s">
        <v>212</v>
      </c>
      <c r="F600" s="113" t="s">
        <v>89</v>
      </c>
      <c r="G600" s="114">
        <v>150</v>
      </c>
      <c r="H600" s="114">
        <v>6.6688799999999997</v>
      </c>
      <c r="I600" s="128">
        <f t="shared" si="41"/>
        <v>4.4459200000000001</v>
      </c>
    </row>
    <row r="601" spans="1:9" s="175" customFormat="1" ht="24" x14ac:dyDescent="0.2">
      <c r="A601" s="117" t="s">
        <v>768</v>
      </c>
      <c r="B601" s="118" t="s">
        <v>395</v>
      </c>
      <c r="C601" s="118" t="s">
        <v>416</v>
      </c>
      <c r="D601" s="118" t="s">
        <v>416</v>
      </c>
      <c r="E601" s="118" t="s">
        <v>769</v>
      </c>
      <c r="F601" s="118"/>
      <c r="G601" s="119">
        <f>G602</f>
        <v>215.69879</v>
      </c>
      <c r="H601" s="119">
        <f>H602</f>
        <v>202.61181999999999</v>
      </c>
      <c r="I601" s="119">
        <f t="shared" si="41"/>
        <v>93.93275687823747</v>
      </c>
    </row>
    <row r="602" spans="1:9" s="175" customFormat="1" ht="36" x14ac:dyDescent="0.2">
      <c r="A602" s="112" t="s">
        <v>79</v>
      </c>
      <c r="B602" s="113" t="s">
        <v>395</v>
      </c>
      <c r="C602" s="113" t="s">
        <v>416</v>
      </c>
      <c r="D602" s="113" t="s">
        <v>416</v>
      </c>
      <c r="E602" s="113" t="s">
        <v>769</v>
      </c>
      <c r="F602" s="113" t="s">
        <v>80</v>
      </c>
      <c r="G602" s="114">
        <f>G603</f>
        <v>215.69879</v>
      </c>
      <c r="H602" s="114">
        <f>H603</f>
        <v>202.61181999999999</v>
      </c>
      <c r="I602" s="114">
        <f t="shared" si="41"/>
        <v>93.93275687823747</v>
      </c>
    </row>
    <row r="603" spans="1:9" s="175" customFormat="1" x14ac:dyDescent="0.2">
      <c r="A603" s="112" t="s">
        <v>81</v>
      </c>
      <c r="B603" s="113" t="s">
        <v>395</v>
      </c>
      <c r="C603" s="113" t="s">
        <v>416</v>
      </c>
      <c r="D603" s="113" t="s">
        <v>416</v>
      </c>
      <c r="E603" s="113" t="s">
        <v>769</v>
      </c>
      <c r="F603" s="113" t="s">
        <v>82</v>
      </c>
      <c r="G603" s="114">
        <v>215.69879</v>
      </c>
      <c r="H603" s="114">
        <v>202.61181999999999</v>
      </c>
      <c r="I603" s="114">
        <f t="shared" si="41"/>
        <v>93.93275687823747</v>
      </c>
    </row>
    <row r="604" spans="1:9" s="175" customFormat="1" x14ac:dyDescent="0.2">
      <c r="A604" s="103" t="s">
        <v>364</v>
      </c>
      <c r="B604" s="104" t="s">
        <v>395</v>
      </c>
      <c r="C604" s="104" t="s">
        <v>476</v>
      </c>
      <c r="D604" s="104" t="s">
        <v>77</v>
      </c>
      <c r="E604" s="104"/>
      <c r="F604" s="104"/>
      <c r="G604" s="105">
        <f>G605+G610</f>
        <v>54700</v>
      </c>
      <c r="H604" s="105">
        <f>H605+H610</f>
        <v>54405.89905</v>
      </c>
      <c r="I604" s="127">
        <f t="shared" si="41"/>
        <v>99.462338299817191</v>
      </c>
    </row>
    <row r="605" spans="1:9" s="175" customFormat="1" x14ac:dyDescent="0.2">
      <c r="A605" s="158" t="s">
        <v>365</v>
      </c>
      <c r="B605" s="104" t="s">
        <v>395</v>
      </c>
      <c r="C605" s="104" t="s">
        <v>476</v>
      </c>
      <c r="D605" s="104" t="s">
        <v>76</v>
      </c>
      <c r="E605" s="104"/>
      <c r="F605" s="104"/>
      <c r="G605" s="105">
        <f t="shared" ref="G605:H608" si="42">G606</f>
        <v>1000</v>
      </c>
      <c r="H605" s="105">
        <f t="shared" si="42"/>
        <v>1000</v>
      </c>
      <c r="I605" s="127">
        <f t="shared" si="41"/>
        <v>100</v>
      </c>
    </row>
    <row r="606" spans="1:9" s="175" customFormat="1" ht="27" x14ac:dyDescent="0.2">
      <c r="A606" s="116" t="s">
        <v>672</v>
      </c>
      <c r="B606" s="107" t="s">
        <v>395</v>
      </c>
      <c r="C606" s="107" t="s">
        <v>476</v>
      </c>
      <c r="D606" s="107" t="s">
        <v>76</v>
      </c>
      <c r="E606" s="107" t="s">
        <v>266</v>
      </c>
      <c r="F606" s="107"/>
      <c r="G606" s="108">
        <f t="shared" si="42"/>
        <v>1000</v>
      </c>
      <c r="H606" s="108">
        <f t="shared" si="42"/>
        <v>1000</v>
      </c>
      <c r="I606" s="155">
        <f t="shared" si="41"/>
        <v>100</v>
      </c>
    </row>
    <row r="607" spans="1:9" s="175" customFormat="1" ht="48" x14ac:dyDescent="0.2">
      <c r="A607" s="103" t="s">
        <v>36</v>
      </c>
      <c r="B607" s="104" t="s">
        <v>395</v>
      </c>
      <c r="C607" s="104" t="s">
        <v>476</v>
      </c>
      <c r="D607" s="104" t="s">
        <v>76</v>
      </c>
      <c r="E607" s="104" t="s">
        <v>617</v>
      </c>
      <c r="F607" s="104"/>
      <c r="G607" s="105">
        <f t="shared" si="42"/>
        <v>1000</v>
      </c>
      <c r="H607" s="105">
        <f t="shared" si="42"/>
        <v>1000</v>
      </c>
      <c r="I607" s="127">
        <f t="shared" si="41"/>
        <v>100</v>
      </c>
    </row>
    <row r="608" spans="1:9" s="175" customFormat="1" x14ac:dyDescent="0.2">
      <c r="A608" s="112" t="s">
        <v>159</v>
      </c>
      <c r="B608" s="113" t="s">
        <v>395</v>
      </c>
      <c r="C608" s="113" t="s">
        <v>476</v>
      </c>
      <c r="D608" s="113" t="s">
        <v>76</v>
      </c>
      <c r="E608" s="113" t="s">
        <v>617</v>
      </c>
      <c r="F608" s="113" t="s">
        <v>84</v>
      </c>
      <c r="G608" s="114">
        <f t="shared" si="42"/>
        <v>1000</v>
      </c>
      <c r="H608" s="114">
        <f t="shared" si="42"/>
        <v>1000</v>
      </c>
      <c r="I608" s="128">
        <f t="shared" si="41"/>
        <v>100</v>
      </c>
    </row>
    <row r="609" spans="1:9" s="175" customFormat="1" x14ac:dyDescent="0.2">
      <c r="A609" s="112" t="s">
        <v>85</v>
      </c>
      <c r="B609" s="113" t="s">
        <v>395</v>
      </c>
      <c r="C609" s="113" t="s">
        <v>476</v>
      </c>
      <c r="D609" s="113" t="s">
        <v>76</v>
      </c>
      <c r="E609" s="113" t="s">
        <v>617</v>
      </c>
      <c r="F609" s="113" t="s">
        <v>86</v>
      </c>
      <c r="G609" s="114">
        <f>500+500</f>
        <v>1000</v>
      </c>
      <c r="H609" s="114">
        <v>1000</v>
      </c>
      <c r="I609" s="128">
        <f t="shared" si="41"/>
        <v>100</v>
      </c>
    </row>
    <row r="610" spans="1:9" s="175" customFormat="1" x14ac:dyDescent="0.2">
      <c r="A610" s="103" t="s">
        <v>368</v>
      </c>
      <c r="B610" s="104" t="s">
        <v>395</v>
      </c>
      <c r="C610" s="104" t="s">
        <v>476</v>
      </c>
      <c r="D610" s="104" t="s">
        <v>470</v>
      </c>
      <c r="E610" s="113"/>
      <c r="F610" s="104"/>
      <c r="G610" s="105">
        <f>G611</f>
        <v>53700</v>
      </c>
      <c r="H610" s="105">
        <f>H611</f>
        <v>53405.89905</v>
      </c>
      <c r="I610" s="127">
        <f t="shared" si="41"/>
        <v>99.452325977653629</v>
      </c>
    </row>
    <row r="611" spans="1:9" s="175" customFormat="1" ht="27" x14ac:dyDescent="0.2">
      <c r="A611" s="116" t="s">
        <v>672</v>
      </c>
      <c r="B611" s="107" t="s">
        <v>395</v>
      </c>
      <c r="C611" s="107" t="s">
        <v>476</v>
      </c>
      <c r="D611" s="107" t="s">
        <v>470</v>
      </c>
      <c r="E611" s="107" t="s">
        <v>266</v>
      </c>
      <c r="F611" s="107"/>
      <c r="G611" s="108">
        <f>G612+G615</f>
        <v>53700</v>
      </c>
      <c r="H611" s="108">
        <f>H612+H615</f>
        <v>53405.89905</v>
      </c>
      <c r="I611" s="155">
        <f t="shared" si="41"/>
        <v>99.452325977653629</v>
      </c>
    </row>
    <row r="612" spans="1:9" s="175" customFormat="1" x14ac:dyDescent="0.2">
      <c r="A612" s="134" t="s">
        <v>172</v>
      </c>
      <c r="B612" s="104" t="s">
        <v>395</v>
      </c>
      <c r="C612" s="104" t="s">
        <v>476</v>
      </c>
      <c r="D612" s="104" t="s">
        <v>470</v>
      </c>
      <c r="E612" s="156" t="s">
        <v>625</v>
      </c>
      <c r="F612" s="104"/>
      <c r="G612" s="105">
        <f>G613</f>
        <v>52869.127</v>
      </c>
      <c r="H612" s="105">
        <f>H613</f>
        <v>52584.956050000001</v>
      </c>
      <c r="I612" s="127">
        <f t="shared" si="41"/>
        <v>99.462501149300238</v>
      </c>
    </row>
    <row r="613" spans="1:9" s="175" customFormat="1" x14ac:dyDescent="0.2">
      <c r="A613" s="112" t="s">
        <v>294</v>
      </c>
      <c r="B613" s="113" t="s">
        <v>395</v>
      </c>
      <c r="C613" s="113" t="s">
        <v>476</v>
      </c>
      <c r="D613" s="113" t="s">
        <v>470</v>
      </c>
      <c r="E613" s="157" t="s">
        <v>625</v>
      </c>
      <c r="F613" s="113" t="s">
        <v>84</v>
      </c>
      <c r="G613" s="114">
        <f>G614</f>
        <v>52869.127</v>
      </c>
      <c r="H613" s="114">
        <f>H614</f>
        <v>52584.956050000001</v>
      </c>
      <c r="I613" s="128">
        <f t="shared" si="41"/>
        <v>99.462501149300238</v>
      </c>
    </row>
    <row r="614" spans="1:9" s="175" customFormat="1" x14ac:dyDescent="0.2">
      <c r="A614" s="112" t="s">
        <v>85</v>
      </c>
      <c r="B614" s="113" t="s">
        <v>395</v>
      </c>
      <c r="C614" s="113" t="s">
        <v>476</v>
      </c>
      <c r="D614" s="113" t="s">
        <v>470</v>
      </c>
      <c r="E614" s="157" t="s">
        <v>625</v>
      </c>
      <c r="F614" s="113" t="s">
        <v>86</v>
      </c>
      <c r="G614" s="114">
        <f>40000-8000+20950-80.873</f>
        <v>52869.127</v>
      </c>
      <c r="H614" s="114">
        <v>52584.956050000001</v>
      </c>
      <c r="I614" s="128">
        <f t="shared" si="41"/>
        <v>99.462501149300238</v>
      </c>
    </row>
    <row r="615" spans="1:9" s="200" customFormat="1" x14ac:dyDescent="0.2">
      <c r="A615" s="134" t="s">
        <v>136</v>
      </c>
      <c r="B615" s="104" t="s">
        <v>395</v>
      </c>
      <c r="C615" s="104" t="s">
        <v>476</v>
      </c>
      <c r="D615" s="104" t="s">
        <v>470</v>
      </c>
      <c r="E615" s="156" t="s">
        <v>619</v>
      </c>
      <c r="F615" s="104"/>
      <c r="G615" s="127">
        <f>G616</f>
        <v>830.87300000000005</v>
      </c>
      <c r="H615" s="127">
        <f>H616</f>
        <v>820.94299999999998</v>
      </c>
      <c r="I615" s="127">
        <f t="shared" si="41"/>
        <v>98.804871502624337</v>
      </c>
    </row>
    <row r="616" spans="1:9" s="200" customFormat="1" x14ac:dyDescent="0.2">
      <c r="A616" s="112" t="s">
        <v>294</v>
      </c>
      <c r="B616" s="113" t="s">
        <v>395</v>
      </c>
      <c r="C616" s="113" t="s">
        <v>476</v>
      </c>
      <c r="D616" s="113" t="s">
        <v>470</v>
      </c>
      <c r="E616" s="113" t="s">
        <v>619</v>
      </c>
      <c r="F616" s="113" t="s">
        <v>84</v>
      </c>
      <c r="G616" s="128">
        <f>G617</f>
        <v>830.87300000000005</v>
      </c>
      <c r="H616" s="128">
        <f>H617</f>
        <v>820.94299999999998</v>
      </c>
      <c r="I616" s="128">
        <f t="shared" si="41"/>
        <v>98.804871502624337</v>
      </c>
    </row>
    <row r="617" spans="1:9" s="200" customFormat="1" x14ac:dyDescent="0.2">
      <c r="A617" s="112" t="s">
        <v>85</v>
      </c>
      <c r="B617" s="113" t="s">
        <v>395</v>
      </c>
      <c r="C617" s="113" t="s">
        <v>476</v>
      </c>
      <c r="D617" s="113" t="s">
        <v>470</v>
      </c>
      <c r="E617" s="113" t="s">
        <v>619</v>
      </c>
      <c r="F617" s="113" t="s">
        <v>86</v>
      </c>
      <c r="G617" s="128">
        <f>3000-2169.127</f>
        <v>830.87300000000005</v>
      </c>
      <c r="H617" s="128">
        <v>820.94299999999998</v>
      </c>
      <c r="I617" s="128">
        <f t="shared" si="41"/>
        <v>98.804871502624337</v>
      </c>
    </row>
    <row r="618" spans="1:9" s="200" customFormat="1" x14ac:dyDescent="0.2">
      <c r="A618" s="103" t="s">
        <v>379</v>
      </c>
      <c r="B618" s="104" t="s">
        <v>395</v>
      </c>
      <c r="C618" s="104" t="s">
        <v>474</v>
      </c>
      <c r="D618" s="104" t="s">
        <v>77</v>
      </c>
      <c r="E618" s="104"/>
      <c r="F618" s="104"/>
      <c r="G618" s="105">
        <f>G619</f>
        <v>18242.05</v>
      </c>
      <c r="H618" s="105">
        <f>H619</f>
        <v>18192.266</v>
      </c>
      <c r="I618" s="127">
        <f t="shared" si="41"/>
        <v>99.727092075726148</v>
      </c>
    </row>
    <row r="619" spans="1:9" s="200" customFormat="1" x14ac:dyDescent="0.2">
      <c r="A619" s="103" t="s">
        <v>453</v>
      </c>
      <c r="B619" s="104" t="s">
        <v>395</v>
      </c>
      <c r="C619" s="104" t="s">
        <v>474</v>
      </c>
      <c r="D619" s="104" t="s">
        <v>78</v>
      </c>
      <c r="E619" s="104"/>
      <c r="F619" s="104"/>
      <c r="G619" s="105">
        <f>G620</f>
        <v>18242.05</v>
      </c>
      <c r="H619" s="105">
        <f>H620</f>
        <v>18192.266</v>
      </c>
      <c r="I619" s="127">
        <f t="shared" si="41"/>
        <v>99.727092075726148</v>
      </c>
    </row>
    <row r="620" spans="1:9" s="200" customFormat="1" ht="27" x14ac:dyDescent="0.2">
      <c r="A620" s="116" t="s">
        <v>672</v>
      </c>
      <c r="B620" s="107" t="s">
        <v>395</v>
      </c>
      <c r="C620" s="107" t="s">
        <v>474</v>
      </c>
      <c r="D620" s="107" t="s">
        <v>78</v>
      </c>
      <c r="E620" s="107" t="s">
        <v>266</v>
      </c>
      <c r="F620" s="107"/>
      <c r="G620" s="108">
        <f>G621+G624</f>
        <v>18242.05</v>
      </c>
      <c r="H620" s="108">
        <f>H621+H624</f>
        <v>18192.266</v>
      </c>
      <c r="I620" s="155">
        <f t="shared" si="41"/>
        <v>99.727092075726148</v>
      </c>
    </row>
    <row r="621" spans="1:9" s="200" customFormat="1" ht="24" x14ac:dyDescent="0.2">
      <c r="A621" s="103" t="s">
        <v>684</v>
      </c>
      <c r="B621" s="104" t="s">
        <v>395</v>
      </c>
      <c r="C621" s="104" t="s">
        <v>474</v>
      </c>
      <c r="D621" s="104" t="s">
        <v>78</v>
      </c>
      <c r="E621" s="104" t="s">
        <v>626</v>
      </c>
      <c r="F621" s="104"/>
      <c r="G621" s="105">
        <f>G622</f>
        <v>17972.05</v>
      </c>
      <c r="H621" s="105">
        <f>H622</f>
        <v>17972.05</v>
      </c>
      <c r="I621" s="127">
        <f t="shared" si="41"/>
        <v>100</v>
      </c>
    </row>
    <row r="622" spans="1:9" s="200" customFormat="1" x14ac:dyDescent="0.2">
      <c r="A622" s="112" t="s">
        <v>221</v>
      </c>
      <c r="B622" s="113" t="s">
        <v>395</v>
      </c>
      <c r="C622" s="113" t="s">
        <v>474</v>
      </c>
      <c r="D622" s="113" t="s">
        <v>78</v>
      </c>
      <c r="E622" s="113" t="s">
        <v>626</v>
      </c>
      <c r="F622" s="113" t="s">
        <v>418</v>
      </c>
      <c r="G622" s="114">
        <f>G623</f>
        <v>17972.05</v>
      </c>
      <c r="H622" s="114">
        <f>H623</f>
        <v>17972.05</v>
      </c>
      <c r="I622" s="128">
        <f t="shared" si="41"/>
        <v>100</v>
      </c>
    </row>
    <row r="623" spans="1:9" s="115" customFormat="1" x14ac:dyDescent="0.2">
      <c r="A623" s="112" t="s">
        <v>419</v>
      </c>
      <c r="B623" s="113" t="s">
        <v>395</v>
      </c>
      <c r="C623" s="113" t="s">
        <v>474</v>
      </c>
      <c r="D623" s="113" t="s">
        <v>78</v>
      </c>
      <c r="E623" s="113" t="s">
        <v>626</v>
      </c>
      <c r="F623" s="113" t="s">
        <v>420</v>
      </c>
      <c r="G623" s="114">
        <f>10000+8000-27.95</f>
        <v>17972.05</v>
      </c>
      <c r="H623" s="114">
        <v>17972.05</v>
      </c>
      <c r="I623" s="128">
        <f t="shared" si="41"/>
        <v>100</v>
      </c>
    </row>
    <row r="624" spans="1:9" s="115" customFormat="1" x14ac:dyDescent="0.2">
      <c r="A624" s="134" t="s">
        <v>136</v>
      </c>
      <c r="B624" s="104" t="s">
        <v>395</v>
      </c>
      <c r="C624" s="104" t="s">
        <v>474</v>
      </c>
      <c r="D624" s="104" t="s">
        <v>78</v>
      </c>
      <c r="E624" s="104" t="s">
        <v>619</v>
      </c>
      <c r="F624" s="104"/>
      <c r="G624" s="105">
        <f>G625</f>
        <v>270</v>
      </c>
      <c r="H624" s="105">
        <f>H625</f>
        <v>220.21600000000001</v>
      </c>
      <c r="I624" s="127">
        <f t="shared" si="41"/>
        <v>81.561481481481479</v>
      </c>
    </row>
    <row r="625" spans="1:9" s="115" customFormat="1" x14ac:dyDescent="0.2">
      <c r="A625" s="112" t="s">
        <v>294</v>
      </c>
      <c r="B625" s="113" t="s">
        <v>395</v>
      </c>
      <c r="C625" s="113" t="s">
        <v>474</v>
      </c>
      <c r="D625" s="113" t="s">
        <v>78</v>
      </c>
      <c r="E625" s="113" t="s">
        <v>619</v>
      </c>
      <c r="F625" s="113" t="s">
        <v>84</v>
      </c>
      <c r="G625" s="114">
        <f>G626</f>
        <v>270</v>
      </c>
      <c r="H625" s="114">
        <f>H626</f>
        <v>220.21600000000001</v>
      </c>
      <c r="I625" s="128">
        <f t="shared" si="41"/>
        <v>81.561481481481479</v>
      </c>
    </row>
    <row r="626" spans="1:9" s="115" customFormat="1" x14ac:dyDescent="0.2">
      <c r="A626" s="112" t="s">
        <v>85</v>
      </c>
      <c r="B626" s="113" t="s">
        <v>395</v>
      </c>
      <c r="C626" s="113" t="s">
        <v>474</v>
      </c>
      <c r="D626" s="113" t="s">
        <v>78</v>
      </c>
      <c r="E626" s="113" t="s">
        <v>619</v>
      </c>
      <c r="F626" s="113" t="s">
        <v>86</v>
      </c>
      <c r="G626" s="114">
        <f>500-230</f>
        <v>270</v>
      </c>
      <c r="H626" s="114">
        <v>220.21600000000001</v>
      </c>
      <c r="I626" s="128">
        <f t="shared" si="41"/>
        <v>81.561481481481479</v>
      </c>
    </row>
    <row r="627" spans="1:9" s="115" customFormat="1" ht="31.5" x14ac:dyDescent="0.2">
      <c r="A627" s="106" t="s">
        <v>760</v>
      </c>
      <c r="B627" s="109" t="s">
        <v>761</v>
      </c>
      <c r="C627" s="110"/>
      <c r="D627" s="110"/>
      <c r="E627" s="109"/>
      <c r="F627" s="109"/>
      <c r="G627" s="111">
        <f>G628</f>
        <v>791.10525000000007</v>
      </c>
      <c r="H627" s="111">
        <f>H628</f>
        <v>671.26224999999999</v>
      </c>
      <c r="I627" s="198">
        <f t="shared" si="41"/>
        <v>84.851193946696711</v>
      </c>
    </row>
    <row r="628" spans="1:9" s="115" customFormat="1" x14ac:dyDescent="0.2">
      <c r="A628" s="103" t="s">
        <v>114</v>
      </c>
      <c r="B628" s="104" t="s">
        <v>761</v>
      </c>
      <c r="C628" s="104" t="s">
        <v>76</v>
      </c>
      <c r="D628" s="104" t="s">
        <v>77</v>
      </c>
      <c r="E628" s="104"/>
      <c r="F628" s="104"/>
      <c r="G628" s="105">
        <f>G629</f>
        <v>791.10525000000007</v>
      </c>
      <c r="H628" s="105">
        <f>H629</f>
        <v>671.26224999999999</v>
      </c>
      <c r="I628" s="127">
        <f t="shared" si="41"/>
        <v>84.851193946696711</v>
      </c>
    </row>
    <row r="629" spans="1:9" s="115" customFormat="1" ht="36" x14ac:dyDescent="0.2">
      <c r="A629" s="103" t="s">
        <v>305</v>
      </c>
      <c r="B629" s="104" t="s">
        <v>761</v>
      </c>
      <c r="C629" s="104" t="s">
        <v>76</v>
      </c>
      <c r="D629" s="104" t="s">
        <v>78</v>
      </c>
      <c r="E629" s="104"/>
      <c r="F629" s="104"/>
      <c r="G629" s="105">
        <f t="shared" ref="G629:H629" si="43">G630</f>
        <v>791.10525000000007</v>
      </c>
      <c r="H629" s="105">
        <f t="shared" si="43"/>
        <v>671.26224999999999</v>
      </c>
      <c r="I629" s="127">
        <f t="shared" si="41"/>
        <v>84.851193946696711</v>
      </c>
    </row>
    <row r="630" spans="1:9" s="115" customFormat="1" x14ac:dyDescent="0.2">
      <c r="A630" s="138" t="s">
        <v>74</v>
      </c>
      <c r="B630" s="118" t="s">
        <v>761</v>
      </c>
      <c r="C630" s="118" t="s">
        <v>76</v>
      </c>
      <c r="D630" s="118" t="s">
        <v>78</v>
      </c>
      <c r="E630" s="118" t="s">
        <v>209</v>
      </c>
      <c r="F630" s="118"/>
      <c r="G630" s="119">
        <f>G631+G638</f>
        <v>791.10525000000007</v>
      </c>
      <c r="H630" s="119">
        <f>H631+H638</f>
        <v>671.26224999999999</v>
      </c>
      <c r="I630" s="129">
        <f t="shared" si="41"/>
        <v>84.851193946696711</v>
      </c>
    </row>
    <row r="631" spans="1:9" s="115" customFormat="1" x14ac:dyDescent="0.2">
      <c r="A631" s="120" t="s">
        <v>297</v>
      </c>
      <c r="B631" s="104" t="s">
        <v>761</v>
      </c>
      <c r="C631" s="104" t="s">
        <v>76</v>
      </c>
      <c r="D631" s="104" t="s">
        <v>78</v>
      </c>
      <c r="E631" s="104" t="s">
        <v>210</v>
      </c>
      <c r="F631" s="104"/>
      <c r="G631" s="105">
        <f>G632+G635</f>
        <v>541.5</v>
      </c>
      <c r="H631" s="105">
        <f>H632+H635</f>
        <v>421.65700000000004</v>
      </c>
      <c r="I631" s="127">
        <f t="shared" si="41"/>
        <v>77.868328716528168</v>
      </c>
    </row>
    <row r="632" spans="1:9" s="115" customFormat="1" x14ac:dyDescent="0.2">
      <c r="A632" s="120" t="s">
        <v>296</v>
      </c>
      <c r="B632" s="104" t="s">
        <v>761</v>
      </c>
      <c r="C632" s="104" t="s">
        <v>76</v>
      </c>
      <c r="D632" s="104" t="s">
        <v>78</v>
      </c>
      <c r="E632" s="104" t="s">
        <v>211</v>
      </c>
      <c r="F632" s="104"/>
      <c r="G632" s="105">
        <f t="shared" ref="G632:H633" si="44">G633</f>
        <v>461</v>
      </c>
      <c r="H632" s="105">
        <f t="shared" si="44"/>
        <v>397.98700000000002</v>
      </c>
      <c r="I632" s="127">
        <f t="shared" si="41"/>
        <v>86.331236442516285</v>
      </c>
    </row>
    <row r="633" spans="1:9" s="115" customFormat="1" ht="36" x14ac:dyDescent="0.2">
      <c r="A633" s="112" t="s">
        <v>79</v>
      </c>
      <c r="B633" s="113" t="s">
        <v>761</v>
      </c>
      <c r="C633" s="113" t="s">
        <v>76</v>
      </c>
      <c r="D633" s="113" t="s">
        <v>78</v>
      </c>
      <c r="E633" s="113" t="s">
        <v>211</v>
      </c>
      <c r="F633" s="113" t="s">
        <v>80</v>
      </c>
      <c r="G633" s="114">
        <f t="shared" si="44"/>
        <v>461</v>
      </c>
      <c r="H633" s="114">
        <f t="shared" si="44"/>
        <v>397.98700000000002</v>
      </c>
      <c r="I633" s="128">
        <f t="shared" si="41"/>
        <v>86.331236442516285</v>
      </c>
    </row>
    <row r="634" spans="1:9" s="115" customFormat="1" x14ac:dyDescent="0.2">
      <c r="A634" s="112" t="s">
        <v>81</v>
      </c>
      <c r="B634" s="113" t="s">
        <v>761</v>
      </c>
      <c r="C634" s="113" t="s">
        <v>76</v>
      </c>
      <c r="D634" s="113" t="s">
        <v>78</v>
      </c>
      <c r="E634" s="113" t="s">
        <v>211</v>
      </c>
      <c r="F634" s="113" t="s">
        <v>82</v>
      </c>
      <c r="G634" s="114">
        <f>361+100</f>
        <v>461</v>
      </c>
      <c r="H634" s="114">
        <v>397.98700000000002</v>
      </c>
      <c r="I634" s="128">
        <f t="shared" si="41"/>
        <v>86.331236442516285</v>
      </c>
    </row>
    <row r="635" spans="1:9" s="115" customFormat="1" x14ac:dyDescent="0.2">
      <c r="A635" s="103" t="s">
        <v>83</v>
      </c>
      <c r="B635" s="104" t="s">
        <v>761</v>
      </c>
      <c r="C635" s="104" t="s">
        <v>76</v>
      </c>
      <c r="D635" s="104" t="s">
        <v>78</v>
      </c>
      <c r="E635" s="104" t="s">
        <v>212</v>
      </c>
      <c r="F635" s="104"/>
      <c r="G635" s="105">
        <f>G636</f>
        <v>80.5</v>
      </c>
      <c r="H635" s="105">
        <f>H636</f>
        <v>23.67</v>
      </c>
      <c r="I635" s="127">
        <f t="shared" si="41"/>
        <v>29.403726708074533</v>
      </c>
    </row>
    <row r="636" spans="1:9" s="115" customFormat="1" x14ac:dyDescent="0.2">
      <c r="A636" s="112" t="s">
        <v>582</v>
      </c>
      <c r="B636" s="113" t="s">
        <v>761</v>
      </c>
      <c r="C636" s="113" t="s">
        <v>76</v>
      </c>
      <c r="D636" s="113" t="s">
        <v>78</v>
      </c>
      <c r="E636" s="113" t="s">
        <v>212</v>
      </c>
      <c r="F636" s="113" t="s">
        <v>84</v>
      </c>
      <c r="G636" s="114">
        <f>G637</f>
        <v>80.5</v>
      </c>
      <c r="H636" s="114">
        <f>H637</f>
        <v>23.67</v>
      </c>
      <c r="I636" s="128">
        <f t="shared" si="41"/>
        <v>29.403726708074533</v>
      </c>
    </row>
    <row r="637" spans="1:9" s="115" customFormat="1" x14ac:dyDescent="0.2">
      <c r="A637" s="112" t="s">
        <v>85</v>
      </c>
      <c r="B637" s="113" t="s">
        <v>761</v>
      </c>
      <c r="C637" s="113" t="s">
        <v>76</v>
      </c>
      <c r="D637" s="113" t="s">
        <v>78</v>
      </c>
      <c r="E637" s="113" t="s">
        <v>212</v>
      </c>
      <c r="F637" s="113" t="s">
        <v>86</v>
      </c>
      <c r="G637" s="114">
        <f>20+50+7.5+3</f>
        <v>80.5</v>
      </c>
      <c r="H637" s="114">
        <v>23.67</v>
      </c>
      <c r="I637" s="128">
        <f t="shared" si="41"/>
        <v>29.403726708074533</v>
      </c>
    </row>
    <row r="638" spans="1:9" s="115" customFormat="1" ht="24" x14ac:dyDescent="0.2">
      <c r="A638" s="117" t="s">
        <v>768</v>
      </c>
      <c r="B638" s="118" t="s">
        <v>761</v>
      </c>
      <c r="C638" s="118" t="s">
        <v>76</v>
      </c>
      <c r="D638" s="118" t="s">
        <v>78</v>
      </c>
      <c r="E638" s="118" t="s">
        <v>769</v>
      </c>
      <c r="F638" s="118"/>
      <c r="G638" s="119">
        <f>G639</f>
        <v>249.60525000000001</v>
      </c>
      <c r="H638" s="119">
        <f>H639</f>
        <v>249.60525000000001</v>
      </c>
      <c r="I638" s="119">
        <f t="shared" si="41"/>
        <v>100</v>
      </c>
    </row>
    <row r="639" spans="1:9" s="115" customFormat="1" ht="36" x14ac:dyDescent="0.2">
      <c r="A639" s="112" t="s">
        <v>79</v>
      </c>
      <c r="B639" s="113" t="s">
        <v>761</v>
      </c>
      <c r="C639" s="113" t="s">
        <v>76</v>
      </c>
      <c r="D639" s="113" t="s">
        <v>78</v>
      </c>
      <c r="E639" s="113" t="s">
        <v>769</v>
      </c>
      <c r="F639" s="113" t="s">
        <v>80</v>
      </c>
      <c r="G639" s="114">
        <f>G640</f>
        <v>249.60525000000001</v>
      </c>
      <c r="H639" s="114">
        <f>H640</f>
        <v>249.60525000000001</v>
      </c>
      <c r="I639" s="114">
        <f t="shared" si="41"/>
        <v>100</v>
      </c>
    </row>
    <row r="640" spans="1:9" s="115" customFormat="1" x14ac:dyDescent="0.2">
      <c r="A640" s="112" t="s">
        <v>81</v>
      </c>
      <c r="B640" s="113" t="s">
        <v>761</v>
      </c>
      <c r="C640" s="113" t="s">
        <v>76</v>
      </c>
      <c r="D640" s="113" t="s">
        <v>78</v>
      </c>
      <c r="E640" s="113" t="s">
        <v>769</v>
      </c>
      <c r="F640" s="113" t="s">
        <v>82</v>
      </c>
      <c r="G640" s="114">
        <v>249.60525000000001</v>
      </c>
      <c r="H640" s="114">
        <v>249.60525000000001</v>
      </c>
      <c r="I640" s="114">
        <f t="shared" si="41"/>
        <v>100</v>
      </c>
    </row>
    <row r="641" spans="1:9" s="115" customFormat="1" ht="31.5" x14ac:dyDescent="0.2">
      <c r="A641" s="106" t="s">
        <v>762</v>
      </c>
      <c r="B641" s="109" t="s">
        <v>763</v>
      </c>
      <c r="C641" s="110"/>
      <c r="D641" s="110"/>
      <c r="E641" s="109"/>
      <c r="F641" s="109"/>
      <c r="G641" s="111">
        <f>G642</f>
        <v>957.96728000000007</v>
      </c>
      <c r="H641" s="111">
        <f>H642</f>
        <v>953.38727999999992</v>
      </c>
      <c r="I641" s="198">
        <f t="shared" si="41"/>
        <v>99.521904338945674</v>
      </c>
    </row>
    <row r="642" spans="1:9" s="115" customFormat="1" x14ac:dyDescent="0.2">
      <c r="A642" s="103" t="s">
        <v>114</v>
      </c>
      <c r="B642" s="104" t="s">
        <v>763</v>
      </c>
      <c r="C642" s="104" t="s">
        <v>76</v>
      </c>
      <c r="D642" s="104" t="s">
        <v>77</v>
      </c>
      <c r="E642" s="104"/>
      <c r="F642" s="104"/>
      <c r="G642" s="105">
        <f>G643</f>
        <v>957.96728000000007</v>
      </c>
      <c r="H642" s="105">
        <f>H643</f>
        <v>953.38727999999992</v>
      </c>
      <c r="I642" s="127">
        <f t="shared" si="41"/>
        <v>99.521904338945674</v>
      </c>
    </row>
    <row r="643" spans="1:9" s="115" customFormat="1" ht="36" x14ac:dyDescent="0.2">
      <c r="A643" s="103" t="s">
        <v>305</v>
      </c>
      <c r="B643" s="104" t="s">
        <v>763</v>
      </c>
      <c r="C643" s="104" t="s">
        <v>76</v>
      </c>
      <c r="D643" s="104" t="s">
        <v>78</v>
      </c>
      <c r="E643" s="104"/>
      <c r="F643" s="104"/>
      <c r="G643" s="105">
        <f t="shared" ref="G643:H644" si="45">G644</f>
        <v>957.96728000000007</v>
      </c>
      <c r="H643" s="105">
        <f t="shared" si="45"/>
        <v>953.38727999999992</v>
      </c>
      <c r="I643" s="127">
        <f t="shared" si="41"/>
        <v>99.521904338945674</v>
      </c>
    </row>
    <row r="644" spans="1:9" s="115" customFormat="1" x14ac:dyDescent="0.2">
      <c r="A644" s="138" t="s">
        <v>74</v>
      </c>
      <c r="B644" s="118" t="s">
        <v>763</v>
      </c>
      <c r="C644" s="118" t="s">
        <v>76</v>
      </c>
      <c r="D644" s="118" t="s">
        <v>78</v>
      </c>
      <c r="E644" s="118" t="s">
        <v>209</v>
      </c>
      <c r="F644" s="118"/>
      <c r="G644" s="119">
        <f>G645</f>
        <v>957.96728000000007</v>
      </c>
      <c r="H644" s="119">
        <f t="shared" si="45"/>
        <v>953.38727999999992</v>
      </c>
      <c r="I644" s="129">
        <f t="shared" si="41"/>
        <v>99.521904338945674</v>
      </c>
    </row>
    <row r="645" spans="1:9" s="115" customFormat="1" x14ac:dyDescent="0.2">
      <c r="A645" s="120" t="s">
        <v>297</v>
      </c>
      <c r="B645" s="104" t="s">
        <v>763</v>
      </c>
      <c r="C645" s="104" t="s">
        <v>76</v>
      </c>
      <c r="D645" s="104" t="s">
        <v>78</v>
      </c>
      <c r="E645" s="104" t="s">
        <v>210</v>
      </c>
      <c r="F645" s="104"/>
      <c r="G645" s="105">
        <f>G646+G649+G652</f>
        <v>957.96728000000007</v>
      </c>
      <c r="H645" s="105">
        <f>H646+H649+H652</f>
        <v>953.38727999999992</v>
      </c>
      <c r="I645" s="127">
        <f t="shared" si="41"/>
        <v>99.521904338945674</v>
      </c>
    </row>
    <row r="646" spans="1:9" s="115" customFormat="1" x14ac:dyDescent="0.2">
      <c r="A646" s="120" t="s">
        <v>296</v>
      </c>
      <c r="B646" s="104" t="s">
        <v>763</v>
      </c>
      <c r="C646" s="104" t="s">
        <v>76</v>
      </c>
      <c r="D646" s="104" t="s">
        <v>78</v>
      </c>
      <c r="E646" s="104" t="s">
        <v>211</v>
      </c>
      <c r="F646" s="104"/>
      <c r="G646" s="105">
        <f t="shared" ref="G646:H647" si="46">G647</f>
        <v>550</v>
      </c>
      <c r="H646" s="105">
        <f t="shared" si="46"/>
        <v>550</v>
      </c>
      <c r="I646" s="127">
        <f t="shared" si="41"/>
        <v>100</v>
      </c>
    </row>
    <row r="647" spans="1:9" s="115" customFormat="1" ht="36" x14ac:dyDescent="0.2">
      <c r="A647" s="112" t="s">
        <v>79</v>
      </c>
      <c r="B647" s="113" t="s">
        <v>763</v>
      </c>
      <c r="C647" s="113" t="s">
        <v>76</v>
      </c>
      <c r="D647" s="113" t="s">
        <v>78</v>
      </c>
      <c r="E647" s="113" t="s">
        <v>211</v>
      </c>
      <c r="F647" s="113" t="s">
        <v>80</v>
      </c>
      <c r="G647" s="114">
        <f t="shared" si="46"/>
        <v>550</v>
      </c>
      <c r="H647" s="114">
        <f t="shared" si="46"/>
        <v>550</v>
      </c>
      <c r="I647" s="128">
        <f t="shared" si="41"/>
        <v>100</v>
      </c>
    </row>
    <row r="648" spans="1:9" s="115" customFormat="1" x14ac:dyDescent="0.2">
      <c r="A648" s="112" t="s">
        <v>81</v>
      </c>
      <c r="B648" s="113" t="s">
        <v>763</v>
      </c>
      <c r="C648" s="113" t="s">
        <v>76</v>
      </c>
      <c r="D648" s="113" t="s">
        <v>78</v>
      </c>
      <c r="E648" s="113" t="s">
        <v>211</v>
      </c>
      <c r="F648" s="113" t="s">
        <v>82</v>
      </c>
      <c r="G648" s="114">
        <v>550</v>
      </c>
      <c r="H648" s="114">
        <v>550</v>
      </c>
      <c r="I648" s="128">
        <f t="shared" si="41"/>
        <v>100</v>
      </c>
    </row>
    <row r="649" spans="1:9" s="115" customFormat="1" x14ac:dyDescent="0.2">
      <c r="A649" s="103" t="s">
        <v>83</v>
      </c>
      <c r="B649" s="104" t="s">
        <v>763</v>
      </c>
      <c r="C649" s="104" t="s">
        <v>76</v>
      </c>
      <c r="D649" s="104" t="s">
        <v>78</v>
      </c>
      <c r="E649" s="104" t="s">
        <v>212</v>
      </c>
      <c r="F649" s="104"/>
      <c r="G649" s="105">
        <f>G650</f>
        <v>43</v>
      </c>
      <c r="H649" s="105">
        <f>H650</f>
        <v>38.42</v>
      </c>
      <c r="I649" s="127">
        <f t="shared" si="41"/>
        <v>89.348837209302332</v>
      </c>
    </row>
    <row r="650" spans="1:9" s="115" customFormat="1" x14ac:dyDescent="0.2">
      <c r="A650" s="112" t="s">
        <v>582</v>
      </c>
      <c r="B650" s="113" t="s">
        <v>763</v>
      </c>
      <c r="C650" s="113" t="s">
        <v>76</v>
      </c>
      <c r="D650" s="113" t="s">
        <v>78</v>
      </c>
      <c r="E650" s="113" t="s">
        <v>212</v>
      </c>
      <c r="F650" s="113" t="s">
        <v>84</v>
      </c>
      <c r="G650" s="114">
        <f>G651</f>
        <v>43</v>
      </c>
      <c r="H650" s="114">
        <f>H651</f>
        <v>38.42</v>
      </c>
      <c r="I650" s="128">
        <f t="shared" si="41"/>
        <v>89.348837209302332</v>
      </c>
    </row>
    <row r="651" spans="1:9" s="115" customFormat="1" x14ac:dyDescent="0.2">
      <c r="A651" s="112" t="s">
        <v>85</v>
      </c>
      <c r="B651" s="113" t="s">
        <v>763</v>
      </c>
      <c r="C651" s="113" t="s">
        <v>76</v>
      </c>
      <c r="D651" s="113" t="s">
        <v>78</v>
      </c>
      <c r="E651" s="113" t="s">
        <v>212</v>
      </c>
      <c r="F651" s="113" t="s">
        <v>86</v>
      </c>
      <c r="G651" s="114">
        <f>17+16+10</f>
        <v>43</v>
      </c>
      <c r="H651" s="114">
        <v>38.42</v>
      </c>
      <c r="I651" s="128">
        <f t="shared" si="41"/>
        <v>89.348837209302332</v>
      </c>
    </row>
    <row r="652" spans="1:9" s="115" customFormat="1" ht="24" x14ac:dyDescent="0.2">
      <c r="A652" s="117" t="s">
        <v>768</v>
      </c>
      <c r="B652" s="118" t="s">
        <v>763</v>
      </c>
      <c r="C652" s="118" t="s">
        <v>76</v>
      </c>
      <c r="D652" s="118" t="s">
        <v>78</v>
      </c>
      <c r="E652" s="118" t="s">
        <v>769</v>
      </c>
      <c r="F652" s="118"/>
      <c r="G652" s="119">
        <f>G653</f>
        <v>364.96728000000002</v>
      </c>
      <c r="H652" s="119">
        <f>H653</f>
        <v>364.96728000000002</v>
      </c>
      <c r="I652" s="119">
        <f t="shared" si="41"/>
        <v>100</v>
      </c>
    </row>
    <row r="653" spans="1:9" s="115" customFormat="1" ht="36" x14ac:dyDescent="0.2">
      <c r="A653" s="112" t="s">
        <v>79</v>
      </c>
      <c r="B653" s="113" t="s">
        <v>763</v>
      </c>
      <c r="C653" s="113" t="s">
        <v>76</v>
      </c>
      <c r="D653" s="113" t="s">
        <v>78</v>
      </c>
      <c r="E653" s="113" t="s">
        <v>769</v>
      </c>
      <c r="F653" s="113" t="s">
        <v>80</v>
      </c>
      <c r="G653" s="114">
        <f>G654</f>
        <v>364.96728000000002</v>
      </c>
      <c r="H653" s="114">
        <f>H654</f>
        <v>364.96728000000002</v>
      </c>
      <c r="I653" s="114">
        <f t="shared" si="41"/>
        <v>100</v>
      </c>
    </row>
    <row r="654" spans="1:9" s="115" customFormat="1" x14ac:dyDescent="0.2">
      <c r="A654" s="112" t="s">
        <v>81</v>
      </c>
      <c r="B654" s="113" t="s">
        <v>763</v>
      </c>
      <c r="C654" s="113" t="s">
        <v>76</v>
      </c>
      <c r="D654" s="113" t="s">
        <v>78</v>
      </c>
      <c r="E654" s="113" t="s">
        <v>769</v>
      </c>
      <c r="F654" s="113" t="s">
        <v>82</v>
      </c>
      <c r="G654" s="114">
        <v>364.96728000000002</v>
      </c>
      <c r="H654" s="114">
        <v>364.96728000000002</v>
      </c>
      <c r="I654" s="114">
        <f t="shared" si="41"/>
        <v>100</v>
      </c>
    </row>
    <row r="655" spans="1:9" s="115" customFormat="1" ht="31.5" x14ac:dyDescent="0.2">
      <c r="A655" s="106" t="s">
        <v>406</v>
      </c>
      <c r="B655" s="109" t="s">
        <v>407</v>
      </c>
      <c r="C655" s="110"/>
      <c r="D655" s="110"/>
      <c r="E655" s="118"/>
      <c r="F655" s="109"/>
      <c r="G655" s="111">
        <f>G656+G663+G670</f>
        <v>318714.96386000002</v>
      </c>
      <c r="H655" s="111">
        <f>H656+H663+H670</f>
        <v>256051.56307</v>
      </c>
      <c r="I655" s="216">
        <f t="shared" si="41"/>
        <v>80.33873275635537</v>
      </c>
    </row>
    <row r="656" spans="1:9" s="115" customFormat="1" x14ac:dyDescent="0.2">
      <c r="A656" s="103" t="s">
        <v>114</v>
      </c>
      <c r="B656" s="104" t="s">
        <v>407</v>
      </c>
      <c r="C656" s="104" t="s">
        <v>76</v>
      </c>
      <c r="D656" s="104" t="s">
        <v>77</v>
      </c>
      <c r="E656" s="104"/>
      <c r="F656" s="104"/>
      <c r="G656" s="105">
        <f t="shared" ref="G656:H659" si="47">G657</f>
        <v>1000</v>
      </c>
      <c r="H656" s="127">
        <f t="shared" si="47"/>
        <v>0</v>
      </c>
      <c r="I656" s="127">
        <f t="shared" si="41"/>
        <v>0</v>
      </c>
    </row>
    <row r="657" spans="1:9" s="115" customFormat="1" x14ac:dyDescent="0.2">
      <c r="A657" s="103" t="s">
        <v>311</v>
      </c>
      <c r="B657" s="104" t="s">
        <v>407</v>
      </c>
      <c r="C657" s="104" t="s">
        <v>76</v>
      </c>
      <c r="D657" s="104" t="s">
        <v>93</v>
      </c>
      <c r="E657" s="104"/>
      <c r="F657" s="104"/>
      <c r="G657" s="105">
        <f t="shared" si="47"/>
        <v>1000</v>
      </c>
      <c r="H657" s="127">
        <f t="shared" si="47"/>
        <v>0</v>
      </c>
      <c r="I657" s="127">
        <f t="shared" ref="I657:I720" si="48">H657/G657*100</f>
        <v>0</v>
      </c>
    </row>
    <row r="658" spans="1:9" s="115" customFormat="1" x14ac:dyDescent="0.2">
      <c r="A658" s="103" t="s">
        <v>297</v>
      </c>
      <c r="B658" s="104" t="s">
        <v>407</v>
      </c>
      <c r="C658" s="104" t="s">
        <v>76</v>
      </c>
      <c r="D658" s="104" t="s">
        <v>93</v>
      </c>
      <c r="E658" s="135" t="s">
        <v>210</v>
      </c>
      <c r="F658" s="104"/>
      <c r="G658" s="105">
        <f t="shared" si="47"/>
        <v>1000</v>
      </c>
      <c r="H658" s="127">
        <f t="shared" si="47"/>
        <v>0</v>
      </c>
      <c r="I658" s="127">
        <f t="shared" si="48"/>
        <v>0</v>
      </c>
    </row>
    <row r="659" spans="1:9" s="115" customFormat="1" x14ac:dyDescent="0.2">
      <c r="A659" s="117" t="s">
        <v>312</v>
      </c>
      <c r="B659" s="118" t="s">
        <v>407</v>
      </c>
      <c r="C659" s="118" t="s">
        <v>76</v>
      </c>
      <c r="D659" s="118" t="s">
        <v>93</v>
      </c>
      <c r="E659" s="122" t="s">
        <v>337</v>
      </c>
      <c r="F659" s="118"/>
      <c r="G659" s="119">
        <f t="shared" si="47"/>
        <v>1000</v>
      </c>
      <c r="H659" s="129">
        <f t="shared" si="47"/>
        <v>0</v>
      </c>
      <c r="I659" s="129">
        <f t="shared" si="48"/>
        <v>0</v>
      </c>
    </row>
    <row r="660" spans="1:9" s="115" customFormat="1" x14ac:dyDescent="0.2">
      <c r="A660" s="112" t="s">
        <v>87</v>
      </c>
      <c r="B660" s="113" t="s">
        <v>407</v>
      </c>
      <c r="C660" s="113" t="s">
        <v>76</v>
      </c>
      <c r="D660" s="113" t="s">
        <v>93</v>
      </c>
      <c r="E660" s="123" t="s">
        <v>337</v>
      </c>
      <c r="F660" s="113" t="s">
        <v>88</v>
      </c>
      <c r="G660" s="114">
        <f>G661+G662</f>
        <v>1000</v>
      </c>
      <c r="H660" s="128">
        <f>H661+H662</f>
        <v>0</v>
      </c>
      <c r="I660" s="128">
        <f t="shared" si="48"/>
        <v>0</v>
      </c>
    </row>
    <row r="661" spans="1:9" s="115" customFormat="1" x14ac:dyDescent="0.2">
      <c r="A661" s="112" t="s">
        <v>149</v>
      </c>
      <c r="B661" s="113" t="s">
        <v>407</v>
      </c>
      <c r="C661" s="113" t="s">
        <v>76</v>
      </c>
      <c r="D661" s="113" t="s">
        <v>93</v>
      </c>
      <c r="E661" s="123" t="s">
        <v>337</v>
      </c>
      <c r="F661" s="113" t="s">
        <v>153</v>
      </c>
      <c r="G661" s="114">
        <v>950</v>
      </c>
      <c r="H661" s="128">
        <v>0</v>
      </c>
      <c r="I661" s="128">
        <f t="shared" si="48"/>
        <v>0</v>
      </c>
    </row>
    <row r="662" spans="1:9" s="175" customFormat="1" x14ac:dyDescent="0.2">
      <c r="A662" s="112" t="s">
        <v>500</v>
      </c>
      <c r="B662" s="113" t="s">
        <v>407</v>
      </c>
      <c r="C662" s="113" t="s">
        <v>76</v>
      </c>
      <c r="D662" s="113" t="s">
        <v>93</v>
      </c>
      <c r="E662" s="123" t="s">
        <v>337</v>
      </c>
      <c r="F662" s="113" t="s">
        <v>89</v>
      </c>
      <c r="G662" s="114">
        <v>50</v>
      </c>
      <c r="H662" s="128">
        <v>0</v>
      </c>
      <c r="I662" s="128">
        <f t="shared" si="48"/>
        <v>0</v>
      </c>
    </row>
    <row r="663" spans="1:9" s="175" customFormat="1" x14ac:dyDescent="0.2">
      <c r="A663" s="103" t="s">
        <v>353</v>
      </c>
      <c r="B663" s="104" t="s">
        <v>407</v>
      </c>
      <c r="C663" s="104" t="s">
        <v>78</v>
      </c>
      <c r="D663" s="104" t="s">
        <v>77</v>
      </c>
      <c r="E663" s="118"/>
      <c r="F663" s="118"/>
      <c r="G663" s="105">
        <f t="shared" ref="G663:H668" si="49">G664</f>
        <v>3530</v>
      </c>
      <c r="H663" s="105">
        <f t="shared" si="49"/>
        <v>2495.502</v>
      </c>
      <c r="I663" s="214">
        <f t="shared" si="48"/>
        <v>70.694107648725208</v>
      </c>
    </row>
    <row r="664" spans="1:9" s="115" customFormat="1" x14ac:dyDescent="0.2">
      <c r="A664" s="103" t="s">
        <v>388</v>
      </c>
      <c r="B664" s="104" t="s">
        <v>407</v>
      </c>
      <c r="C664" s="104" t="s">
        <v>78</v>
      </c>
      <c r="D664" s="104" t="s">
        <v>475</v>
      </c>
      <c r="E664" s="118"/>
      <c r="F664" s="118"/>
      <c r="G664" s="105">
        <f t="shared" si="49"/>
        <v>3530</v>
      </c>
      <c r="H664" s="105">
        <f t="shared" si="49"/>
        <v>2495.502</v>
      </c>
      <c r="I664" s="214">
        <f t="shared" si="48"/>
        <v>70.694107648725208</v>
      </c>
    </row>
    <row r="665" spans="1:9" s="115" customFormat="1" ht="40.5" x14ac:dyDescent="0.2">
      <c r="A665" s="116" t="s">
        <v>677</v>
      </c>
      <c r="B665" s="107" t="s">
        <v>407</v>
      </c>
      <c r="C665" s="107" t="s">
        <v>78</v>
      </c>
      <c r="D665" s="107" t="s">
        <v>475</v>
      </c>
      <c r="E665" s="107" t="s">
        <v>237</v>
      </c>
      <c r="F665" s="107"/>
      <c r="G665" s="108">
        <f t="shared" si="49"/>
        <v>3530</v>
      </c>
      <c r="H665" s="108">
        <f t="shared" si="49"/>
        <v>2495.502</v>
      </c>
      <c r="I665" s="217">
        <f t="shared" si="48"/>
        <v>70.694107648725208</v>
      </c>
    </row>
    <row r="666" spans="1:9" s="115" customFormat="1" x14ac:dyDescent="0.2">
      <c r="A666" s="103" t="s">
        <v>629</v>
      </c>
      <c r="B666" s="104" t="s">
        <v>407</v>
      </c>
      <c r="C666" s="104" t="s">
        <v>78</v>
      </c>
      <c r="D666" s="104" t="s">
        <v>475</v>
      </c>
      <c r="E666" s="104" t="s">
        <v>238</v>
      </c>
      <c r="F666" s="113"/>
      <c r="G666" s="105">
        <f t="shared" si="49"/>
        <v>3530</v>
      </c>
      <c r="H666" s="105">
        <f t="shared" si="49"/>
        <v>2495.502</v>
      </c>
      <c r="I666" s="214">
        <f t="shared" si="48"/>
        <v>70.694107648725208</v>
      </c>
    </row>
    <row r="667" spans="1:9" s="115" customFormat="1" x14ac:dyDescent="0.2">
      <c r="A667" s="133" t="s">
        <v>630</v>
      </c>
      <c r="B667" s="118" t="s">
        <v>407</v>
      </c>
      <c r="C667" s="118" t="s">
        <v>78</v>
      </c>
      <c r="D667" s="118" t="s">
        <v>475</v>
      </c>
      <c r="E667" s="126" t="s">
        <v>631</v>
      </c>
      <c r="F667" s="118"/>
      <c r="G667" s="119">
        <f t="shared" si="49"/>
        <v>3530</v>
      </c>
      <c r="H667" s="119">
        <f t="shared" si="49"/>
        <v>2495.502</v>
      </c>
      <c r="I667" s="214">
        <f t="shared" si="48"/>
        <v>70.694107648725208</v>
      </c>
    </row>
    <row r="668" spans="1:9" s="115" customFormat="1" x14ac:dyDescent="0.2">
      <c r="A668" s="112" t="s">
        <v>294</v>
      </c>
      <c r="B668" s="113" t="s">
        <v>407</v>
      </c>
      <c r="C668" s="113" t="s">
        <v>78</v>
      </c>
      <c r="D668" s="113" t="s">
        <v>475</v>
      </c>
      <c r="E668" s="113" t="s">
        <v>631</v>
      </c>
      <c r="F668" s="113" t="s">
        <v>84</v>
      </c>
      <c r="G668" s="114">
        <f t="shared" si="49"/>
        <v>3530</v>
      </c>
      <c r="H668" s="114">
        <f t="shared" si="49"/>
        <v>2495.502</v>
      </c>
      <c r="I668" s="213">
        <f t="shared" si="48"/>
        <v>70.694107648725208</v>
      </c>
    </row>
    <row r="669" spans="1:9" s="115" customFormat="1" x14ac:dyDescent="0.2">
      <c r="A669" s="112" t="s">
        <v>85</v>
      </c>
      <c r="B669" s="113" t="s">
        <v>407</v>
      </c>
      <c r="C669" s="113" t="s">
        <v>78</v>
      </c>
      <c r="D669" s="113" t="s">
        <v>475</v>
      </c>
      <c r="E669" s="113" t="s">
        <v>631</v>
      </c>
      <c r="F669" s="113" t="s">
        <v>86</v>
      </c>
      <c r="G669" s="114">
        <f>5000-370-1100</f>
        <v>3530</v>
      </c>
      <c r="H669" s="114">
        <v>2495.502</v>
      </c>
      <c r="I669" s="213">
        <f t="shared" si="48"/>
        <v>70.694107648725208</v>
      </c>
    </row>
    <row r="670" spans="1:9" s="115" customFormat="1" x14ac:dyDescent="0.2">
      <c r="A670" s="103" t="s">
        <v>358</v>
      </c>
      <c r="B670" s="104" t="s">
        <v>407</v>
      </c>
      <c r="C670" s="104" t="s">
        <v>416</v>
      </c>
      <c r="D670" s="104" t="s">
        <v>77</v>
      </c>
      <c r="E670" s="104"/>
      <c r="F670" s="104"/>
      <c r="G670" s="105">
        <f>G671+G706+G731+G743</f>
        <v>314184.96386000002</v>
      </c>
      <c r="H670" s="105">
        <f>H671+H706+H731+H743</f>
        <v>253556.06107</v>
      </c>
      <c r="I670" s="214">
        <f t="shared" si="48"/>
        <v>80.702799381253627</v>
      </c>
    </row>
    <row r="671" spans="1:9" s="115" customFormat="1" x14ac:dyDescent="0.2">
      <c r="A671" s="103" t="s">
        <v>359</v>
      </c>
      <c r="B671" s="104" t="s">
        <v>407</v>
      </c>
      <c r="C671" s="104" t="s">
        <v>416</v>
      </c>
      <c r="D671" s="104" t="s">
        <v>76</v>
      </c>
      <c r="E671" s="118"/>
      <c r="F671" s="118"/>
      <c r="G671" s="105">
        <f>G672</f>
        <v>65357.30672</v>
      </c>
      <c r="H671" s="105">
        <f>H672</f>
        <v>54253.535479999999</v>
      </c>
      <c r="I671" s="214">
        <f t="shared" si="48"/>
        <v>83.010665834854336</v>
      </c>
    </row>
    <row r="672" spans="1:9" s="115" customFormat="1" ht="40.5" x14ac:dyDescent="0.2">
      <c r="A672" s="116" t="s">
        <v>677</v>
      </c>
      <c r="B672" s="107" t="s">
        <v>407</v>
      </c>
      <c r="C672" s="107" t="s">
        <v>416</v>
      </c>
      <c r="D672" s="107" t="s">
        <v>76</v>
      </c>
      <c r="E672" s="107" t="s">
        <v>237</v>
      </c>
      <c r="F672" s="118"/>
      <c r="G672" s="108">
        <f>G673+G683+G693</f>
        <v>65357.30672</v>
      </c>
      <c r="H672" s="108">
        <f>H673+H683+H693</f>
        <v>54253.535479999999</v>
      </c>
      <c r="I672" s="217">
        <f t="shared" si="48"/>
        <v>83.010665834854336</v>
      </c>
    </row>
    <row r="673" spans="1:9" s="115" customFormat="1" x14ac:dyDescent="0.2">
      <c r="A673" s="103" t="s">
        <v>59</v>
      </c>
      <c r="B673" s="104" t="s">
        <v>407</v>
      </c>
      <c r="C673" s="104" t="s">
        <v>416</v>
      </c>
      <c r="D673" s="104" t="s">
        <v>76</v>
      </c>
      <c r="E673" s="104" t="s">
        <v>239</v>
      </c>
      <c r="F673" s="104"/>
      <c r="G673" s="105">
        <f>G674+G677+G680</f>
        <v>10500</v>
      </c>
      <c r="H673" s="105">
        <f>H674+H677+H680</f>
        <v>7666.9549999999999</v>
      </c>
      <c r="I673" s="214">
        <f t="shared" si="48"/>
        <v>73.018619047619055</v>
      </c>
    </row>
    <row r="674" spans="1:9" s="115" customFormat="1" x14ac:dyDescent="0.2">
      <c r="A674" s="117" t="s">
        <v>720</v>
      </c>
      <c r="B674" s="118" t="s">
        <v>407</v>
      </c>
      <c r="C674" s="118" t="s">
        <v>416</v>
      </c>
      <c r="D674" s="118" t="s">
        <v>76</v>
      </c>
      <c r="E674" s="118" t="s">
        <v>632</v>
      </c>
      <c r="F674" s="118"/>
      <c r="G674" s="129">
        <f>G675</f>
        <v>5000</v>
      </c>
      <c r="H674" s="129">
        <f>H675</f>
        <v>4925.3090000000002</v>
      </c>
      <c r="I674" s="215">
        <f t="shared" si="48"/>
        <v>98.506180000000001</v>
      </c>
    </row>
    <row r="675" spans="1:9" s="115" customFormat="1" x14ac:dyDescent="0.2">
      <c r="A675" s="112" t="s">
        <v>294</v>
      </c>
      <c r="B675" s="113" t="s">
        <v>407</v>
      </c>
      <c r="C675" s="113" t="s">
        <v>416</v>
      </c>
      <c r="D675" s="113" t="s">
        <v>76</v>
      </c>
      <c r="E675" s="113" t="s">
        <v>632</v>
      </c>
      <c r="F675" s="113" t="s">
        <v>84</v>
      </c>
      <c r="G675" s="128">
        <f>G676</f>
        <v>5000</v>
      </c>
      <c r="H675" s="128">
        <f>H676</f>
        <v>4925.3090000000002</v>
      </c>
      <c r="I675" s="213">
        <f t="shared" si="48"/>
        <v>98.506180000000001</v>
      </c>
    </row>
    <row r="676" spans="1:9" s="115" customFormat="1" x14ac:dyDescent="0.2">
      <c r="A676" s="112" t="s">
        <v>85</v>
      </c>
      <c r="B676" s="113" t="s">
        <v>407</v>
      </c>
      <c r="C676" s="113" t="s">
        <v>416</v>
      </c>
      <c r="D676" s="113" t="s">
        <v>76</v>
      </c>
      <c r="E676" s="113" t="s">
        <v>632</v>
      </c>
      <c r="F676" s="113" t="s">
        <v>86</v>
      </c>
      <c r="G676" s="128">
        <v>5000</v>
      </c>
      <c r="H676" s="128">
        <v>4925.3090000000002</v>
      </c>
      <c r="I676" s="213">
        <f t="shared" si="48"/>
        <v>98.506180000000001</v>
      </c>
    </row>
    <row r="677" spans="1:9" s="115" customFormat="1" x14ac:dyDescent="0.2">
      <c r="A677" s="117" t="s">
        <v>633</v>
      </c>
      <c r="B677" s="118" t="s">
        <v>407</v>
      </c>
      <c r="C677" s="118" t="s">
        <v>416</v>
      </c>
      <c r="D677" s="118" t="s">
        <v>76</v>
      </c>
      <c r="E677" s="118" t="s">
        <v>634</v>
      </c>
      <c r="F677" s="118"/>
      <c r="G677" s="129">
        <f>G678</f>
        <v>1500</v>
      </c>
      <c r="H677" s="129">
        <f>H678</f>
        <v>1480.2239999999999</v>
      </c>
      <c r="I677" s="215">
        <f t="shared" si="48"/>
        <v>98.681599999999989</v>
      </c>
    </row>
    <row r="678" spans="1:9" s="115" customFormat="1" x14ac:dyDescent="0.2">
      <c r="A678" s="112" t="s">
        <v>294</v>
      </c>
      <c r="B678" s="113" t="s">
        <v>407</v>
      </c>
      <c r="C678" s="113" t="s">
        <v>416</v>
      </c>
      <c r="D678" s="113" t="s">
        <v>76</v>
      </c>
      <c r="E678" s="113" t="s">
        <v>634</v>
      </c>
      <c r="F678" s="113" t="s">
        <v>84</v>
      </c>
      <c r="G678" s="128">
        <f>G679</f>
        <v>1500</v>
      </c>
      <c r="H678" s="128">
        <f>H679</f>
        <v>1480.2239999999999</v>
      </c>
      <c r="I678" s="213">
        <f t="shared" si="48"/>
        <v>98.681599999999989</v>
      </c>
    </row>
    <row r="679" spans="1:9" s="115" customFormat="1" x14ac:dyDescent="0.2">
      <c r="A679" s="112" t="s">
        <v>85</v>
      </c>
      <c r="B679" s="113" t="s">
        <v>407</v>
      </c>
      <c r="C679" s="113" t="s">
        <v>416</v>
      </c>
      <c r="D679" s="113" t="s">
        <v>76</v>
      </c>
      <c r="E679" s="113" t="s">
        <v>634</v>
      </c>
      <c r="F679" s="113" t="s">
        <v>86</v>
      </c>
      <c r="G679" s="128">
        <f>500+1000</f>
        <v>1500</v>
      </c>
      <c r="H679" s="128">
        <v>1480.2239999999999</v>
      </c>
      <c r="I679" s="213">
        <f t="shared" si="48"/>
        <v>98.681599999999989</v>
      </c>
    </row>
    <row r="680" spans="1:9" s="115" customFormat="1" x14ac:dyDescent="0.2">
      <c r="A680" s="117" t="s">
        <v>240</v>
      </c>
      <c r="B680" s="118" t="s">
        <v>407</v>
      </c>
      <c r="C680" s="118" t="s">
        <v>416</v>
      </c>
      <c r="D680" s="118" t="s">
        <v>76</v>
      </c>
      <c r="E680" s="118" t="s">
        <v>635</v>
      </c>
      <c r="F680" s="118"/>
      <c r="G680" s="129">
        <f>G681</f>
        <v>4000</v>
      </c>
      <c r="H680" s="129">
        <f>H681</f>
        <v>1261.422</v>
      </c>
      <c r="I680" s="214">
        <f t="shared" si="48"/>
        <v>31.535550000000001</v>
      </c>
    </row>
    <row r="681" spans="1:9" s="115" customFormat="1" x14ac:dyDescent="0.2">
      <c r="A681" s="112" t="s">
        <v>294</v>
      </c>
      <c r="B681" s="113" t="s">
        <v>407</v>
      </c>
      <c r="C681" s="113" t="s">
        <v>416</v>
      </c>
      <c r="D681" s="113" t="s">
        <v>76</v>
      </c>
      <c r="E681" s="113" t="s">
        <v>635</v>
      </c>
      <c r="F681" s="113" t="s">
        <v>84</v>
      </c>
      <c r="G681" s="128">
        <f>G682</f>
        <v>4000</v>
      </c>
      <c r="H681" s="128">
        <f>H682</f>
        <v>1261.422</v>
      </c>
      <c r="I681" s="213">
        <f t="shared" si="48"/>
        <v>31.535550000000001</v>
      </c>
    </row>
    <row r="682" spans="1:9" s="115" customFormat="1" x14ac:dyDescent="0.2">
      <c r="A682" s="112" t="s">
        <v>85</v>
      </c>
      <c r="B682" s="113" t="s">
        <v>407</v>
      </c>
      <c r="C682" s="113" t="s">
        <v>416</v>
      </c>
      <c r="D682" s="113" t="s">
        <v>76</v>
      </c>
      <c r="E682" s="113" t="s">
        <v>635</v>
      </c>
      <c r="F682" s="113" t="s">
        <v>86</v>
      </c>
      <c r="G682" s="128">
        <v>4000</v>
      </c>
      <c r="H682" s="128">
        <v>1261.422</v>
      </c>
      <c r="I682" s="213">
        <f t="shared" si="48"/>
        <v>31.535550000000001</v>
      </c>
    </row>
    <row r="683" spans="1:9" s="115" customFormat="1" x14ac:dyDescent="0.2">
      <c r="A683" s="103" t="s">
        <v>490</v>
      </c>
      <c r="B683" s="104" t="s">
        <v>436</v>
      </c>
      <c r="C683" s="104" t="s">
        <v>416</v>
      </c>
      <c r="D683" s="104" t="s">
        <v>76</v>
      </c>
      <c r="E683" s="104" t="s">
        <v>491</v>
      </c>
      <c r="F683" s="113"/>
      <c r="G683" s="105">
        <f>G684+G687+G690</f>
        <v>17400</v>
      </c>
      <c r="H683" s="105">
        <f>H684+H687+H690</f>
        <v>16083.200999999999</v>
      </c>
      <c r="I683" s="214">
        <f t="shared" si="48"/>
        <v>92.432189655172408</v>
      </c>
    </row>
    <row r="684" spans="1:9" s="115" customFormat="1" ht="24" x14ac:dyDescent="0.2">
      <c r="A684" s="117" t="s">
        <v>640</v>
      </c>
      <c r="B684" s="118" t="s">
        <v>436</v>
      </c>
      <c r="C684" s="118" t="s">
        <v>416</v>
      </c>
      <c r="D684" s="118" t="s">
        <v>76</v>
      </c>
      <c r="E684" s="118" t="s">
        <v>641</v>
      </c>
      <c r="F684" s="118"/>
      <c r="G684" s="119">
        <f>G685</f>
        <v>700</v>
      </c>
      <c r="H684" s="129">
        <f>H685</f>
        <v>0</v>
      </c>
      <c r="I684" s="129">
        <f t="shared" si="48"/>
        <v>0</v>
      </c>
    </row>
    <row r="685" spans="1:9" s="115" customFormat="1" x14ac:dyDescent="0.2">
      <c r="A685" s="112" t="s">
        <v>294</v>
      </c>
      <c r="B685" s="113" t="s">
        <v>407</v>
      </c>
      <c r="C685" s="113" t="s">
        <v>416</v>
      </c>
      <c r="D685" s="113" t="s">
        <v>76</v>
      </c>
      <c r="E685" s="113" t="s">
        <v>641</v>
      </c>
      <c r="F685" s="113" t="s">
        <v>84</v>
      </c>
      <c r="G685" s="114">
        <f>G686</f>
        <v>700</v>
      </c>
      <c r="H685" s="128">
        <f>H686</f>
        <v>0</v>
      </c>
      <c r="I685" s="128">
        <f t="shared" si="48"/>
        <v>0</v>
      </c>
    </row>
    <row r="686" spans="1:9" s="115" customFormat="1" x14ac:dyDescent="0.2">
      <c r="A686" s="112" t="s">
        <v>85</v>
      </c>
      <c r="B686" s="113" t="s">
        <v>407</v>
      </c>
      <c r="C686" s="113" t="s">
        <v>416</v>
      </c>
      <c r="D686" s="113" t="s">
        <v>76</v>
      </c>
      <c r="E686" s="113" t="s">
        <v>641</v>
      </c>
      <c r="F686" s="113" t="s">
        <v>86</v>
      </c>
      <c r="G686" s="114">
        <f>1000-300</f>
        <v>700</v>
      </c>
      <c r="H686" s="128">
        <v>0</v>
      </c>
      <c r="I686" s="128">
        <f t="shared" si="48"/>
        <v>0</v>
      </c>
    </row>
    <row r="687" spans="1:9" s="115" customFormat="1" ht="24" x14ac:dyDescent="0.2">
      <c r="A687" s="121" t="s">
        <v>492</v>
      </c>
      <c r="B687" s="118" t="s">
        <v>436</v>
      </c>
      <c r="C687" s="118" t="s">
        <v>416</v>
      </c>
      <c r="D687" s="118" t="s">
        <v>76</v>
      </c>
      <c r="E687" s="118" t="s">
        <v>642</v>
      </c>
      <c r="F687" s="118"/>
      <c r="G687" s="119">
        <f>G688</f>
        <v>600</v>
      </c>
      <c r="H687" s="119">
        <f>H688</f>
        <v>238</v>
      </c>
      <c r="I687" s="215">
        <f t="shared" si="48"/>
        <v>39.666666666666664</v>
      </c>
    </row>
    <row r="688" spans="1:9" s="115" customFormat="1" x14ac:dyDescent="0.2">
      <c r="A688" s="112" t="s">
        <v>294</v>
      </c>
      <c r="B688" s="113" t="s">
        <v>407</v>
      </c>
      <c r="C688" s="113" t="s">
        <v>416</v>
      </c>
      <c r="D688" s="113" t="s">
        <v>76</v>
      </c>
      <c r="E688" s="113" t="s">
        <v>642</v>
      </c>
      <c r="F688" s="113" t="s">
        <v>84</v>
      </c>
      <c r="G688" s="114">
        <f>G689</f>
        <v>600</v>
      </c>
      <c r="H688" s="114">
        <f>H689</f>
        <v>238</v>
      </c>
      <c r="I688" s="213">
        <f t="shared" si="48"/>
        <v>39.666666666666664</v>
      </c>
    </row>
    <row r="689" spans="1:9" s="115" customFormat="1" x14ac:dyDescent="0.2">
      <c r="A689" s="112" t="s">
        <v>85</v>
      </c>
      <c r="B689" s="113" t="s">
        <v>407</v>
      </c>
      <c r="C689" s="113" t="s">
        <v>416</v>
      </c>
      <c r="D689" s="113" t="s">
        <v>76</v>
      </c>
      <c r="E689" s="113" t="s">
        <v>642</v>
      </c>
      <c r="F689" s="113" t="s">
        <v>86</v>
      </c>
      <c r="G689" s="114">
        <f>300+300</f>
        <v>600</v>
      </c>
      <c r="H689" s="114">
        <v>238</v>
      </c>
      <c r="I689" s="213">
        <f t="shared" si="48"/>
        <v>39.666666666666664</v>
      </c>
    </row>
    <row r="690" spans="1:9" s="200" customFormat="1" x14ac:dyDescent="0.2">
      <c r="A690" s="121" t="s">
        <v>241</v>
      </c>
      <c r="B690" s="118" t="s">
        <v>436</v>
      </c>
      <c r="C690" s="118" t="s">
        <v>416</v>
      </c>
      <c r="D690" s="118" t="s">
        <v>76</v>
      </c>
      <c r="E690" s="126" t="s">
        <v>643</v>
      </c>
      <c r="F690" s="118"/>
      <c r="G690" s="119">
        <f>G691</f>
        <v>16100</v>
      </c>
      <c r="H690" s="119">
        <f>H691</f>
        <v>15845.200999999999</v>
      </c>
      <c r="I690" s="215">
        <f t="shared" si="48"/>
        <v>98.417397515527952</v>
      </c>
    </row>
    <row r="691" spans="1:9" s="200" customFormat="1" x14ac:dyDescent="0.2">
      <c r="A691" s="112" t="s">
        <v>294</v>
      </c>
      <c r="B691" s="113" t="s">
        <v>407</v>
      </c>
      <c r="C691" s="113" t="s">
        <v>416</v>
      </c>
      <c r="D691" s="113" t="s">
        <v>76</v>
      </c>
      <c r="E691" s="113" t="s">
        <v>643</v>
      </c>
      <c r="F691" s="113" t="s">
        <v>84</v>
      </c>
      <c r="G691" s="114">
        <f>G692</f>
        <v>16100</v>
      </c>
      <c r="H691" s="114">
        <f>H692</f>
        <v>15845.200999999999</v>
      </c>
      <c r="I691" s="213">
        <f t="shared" si="48"/>
        <v>98.417397515527952</v>
      </c>
    </row>
    <row r="692" spans="1:9" s="200" customFormat="1" x14ac:dyDescent="0.2">
      <c r="A692" s="112" t="s">
        <v>85</v>
      </c>
      <c r="B692" s="113" t="s">
        <v>407</v>
      </c>
      <c r="C692" s="113" t="s">
        <v>416</v>
      </c>
      <c r="D692" s="113" t="s">
        <v>76</v>
      </c>
      <c r="E692" s="113" t="s">
        <v>643</v>
      </c>
      <c r="F692" s="113" t="s">
        <v>86</v>
      </c>
      <c r="G692" s="114">
        <f>7000+9100</f>
        <v>16100</v>
      </c>
      <c r="H692" s="114">
        <v>15845.200999999999</v>
      </c>
      <c r="I692" s="213">
        <f t="shared" si="48"/>
        <v>98.417397515527952</v>
      </c>
    </row>
    <row r="693" spans="1:9" s="200" customFormat="1" x14ac:dyDescent="0.2">
      <c r="A693" s="103" t="s">
        <v>150</v>
      </c>
      <c r="B693" s="104" t="s">
        <v>436</v>
      </c>
      <c r="C693" s="104" t="s">
        <v>416</v>
      </c>
      <c r="D693" s="104" t="s">
        <v>76</v>
      </c>
      <c r="E693" s="104" t="s">
        <v>126</v>
      </c>
      <c r="F693" s="113"/>
      <c r="G693" s="105">
        <f>G700+G703+G694+G697</f>
        <v>37457.30672</v>
      </c>
      <c r="H693" s="105">
        <f>H700+H703+H694+H697</f>
        <v>30503.37948</v>
      </c>
      <c r="I693" s="214">
        <f t="shared" si="48"/>
        <v>81.435058072963344</v>
      </c>
    </row>
    <row r="694" spans="1:9" s="200" customFormat="1" ht="60" x14ac:dyDescent="0.2">
      <c r="A694" s="133" t="s">
        <v>727</v>
      </c>
      <c r="B694" s="118" t="s">
        <v>407</v>
      </c>
      <c r="C694" s="118" t="s">
        <v>416</v>
      </c>
      <c r="D694" s="118" t="s">
        <v>76</v>
      </c>
      <c r="E694" s="118" t="s">
        <v>742</v>
      </c>
      <c r="F694" s="118"/>
      <c r="G694" s="119">
        <f>G695</f>
        <v>8362.3067200000005</v>
      </c>
      <c r="H694" s="119">
        <f>H695</f>
        <v>8362.3067200000005</v>
      </c>
      <c r="I694" s="215">
        <f t="shared" si="48"/>
        <v>100</v>
      </c>
    </row>
    <row r="695" spans="1:9" s="200" customFormat="1" x14ac:dyDescent="0.2">
      <c r="A695" s="112" t="s">
        <v>221</v>
      </c>
      <c r="B695" s="113" t="s">
        <v>407</v>
      </c>
      <c r="C695" s="113" t="s">
        <v>416</v>
      </c>
      <c r="D695" s="113" t="s">
        <v>76</v>
      </c>
      <c r="E695" s="113" t="s">
        <v>742</v>
      </c>
      <c r="F695" s="113" t="s">
        <v>418</v>
      </c>
      <c r="G695" s="114">
        <f>G696</f>
        <v>8362.3067200000005</v>
      </c>
      <c r="H695" s="114">
        <f>H696</f>
        <v>8362.3067200000005</v>
      </c>
      <c r="I695" s="213">
        <f t="shared" si="48"/>
        <v>100</v>
      </c>
    </row>
    <row r="696" spans="1:9" s="200" customFormat="1" x14ac:dyDescent="0.2">
      <c r="A696" s="112" t="s">
        <v>419</v>
      </c>
      <c r="B696" s="113" t="s">
        <v>407</v>
      </c>
      <c r="C696" s="113" t="s">
        <v>416</v>
      </c>
      <c r="D696" s="113" t="s">
        <v>76</v>
      </c>
      <c r="E696" s="113" t="s">
        <v>742</v>
      </c>
      <c r="F696" s="113" t="s">
        <v>420</v>
      </c>
      <c r="G696" s="114">
        <v>8362.3067200000005</v>
      </c>
      <c r="H696" s="114">
        <v>8362.3067200000005</v>
      </c>
      <c r="I696" s="213">
        <f t="shared" si="48"/>
        <v>100</v>
      </c>
    </row>
    <row r="697" spans="1:9" s="200" customFormat="1" ht="24" x14ac:dyDescent="0.2">
      <c r="A697" s="207" t="s">
        <v>615</v>
      </c>
      <c r="B697" s="104" t="s">
        <v>407</v>
      </c>
      <c r="C697" s="104" t="s">
        <v>416</v>
      </c>
      <c r="D697" s="104" t="s">
        <v>76</v>
      </c>
      <c r="E697" s="104" t="s">
        <v>744</v>
      </c>
      <c r="F697" s="104"/>
      <c r="G697" s="105">
        <f>G698</f>
        <v>1100</v>
      </c>
      <c r="H697" s="105">
        <f>H698</f>
        <v>1042.69328</v>
      </c>
      <c r="I697" s="214">
        <f t="shared" si="48"/>
        <v>94.790298181818173</v>
      </c>
    </row>
    <row r="698" spans="1:9" s="200" customFormat="1" x14ac:dyDescent="0.2">
      <c r="A698" s="208" t="s">
        <v>221</v>
      </c>
      <c r="B698" s="113" t="s">
        <v>407</v>
      </c>
      <c r="C698" s="113" t="s">
        <v>416</v>
      </c>
      <c r="D698" s="113" t="s">
        <v>76</v>
      </c>
      <c r="E698" s="113" t="s">
        <v>744</v>
      </c>
      <c r="F698" s="113" t="s">
        <v>418</v>
      </c>
      <c r="G698" s="114">
        <f>G699</f>
        <v>1100</v>
      </c>
      <c r="H698" s="114">
        <f>H699</f>
        <v>1042.69328</v>
      </c>
      <c r="I698" s="213">
        <f t="shared" si="48"/>
        <v>94.790298181818173</v>
      </c>
    </row>
    <row r="699" spans="1:9" s="200" customFormat="1" x14ac:dyDescent="0.2">
      <c r="A699" s="208" t="s">
        <v>419</v>
      </c>
      <c r="B699" s="113" t="s">
        <v>407</v>
      </c>
      <c r="C699" s="113" t="s">
        <v>416</v>
      </c>
      <c r="D699" s="113" t="s">
        <v>76</v>
      </c>
      <c r="E699" s="113" t="s">
        <v>744</v>
      </c>
      <c r="F699" s="113" t="s">
        <v>420</v>
      </c>
      <c r="G699" s="114">
        <v>1100</v>
      </c>
      <c r="H699" s="114">
        <v>1042.69328</v>
      </c>
      <c r="I699" s="213">
        <f t="shared" si="48"/>
        <v>94.790298181818173</v>
      </c>
    </row>
    <row r="700" spans="1:9" s="200" customFormat="1" ht="24" x14ac:dyDescent="0.2">
      <c r="A700" s="117" t="s">
        <v>435</v>
      </c>
      <c r="B700" s="118" t="s">
        <v>407</v>
      </c>
      <c r="C700" s="118" t="s">
        <v>416</v>
      </c>
      <c r="D700" s="118" t="s">
        <v>76</v>
      </c>
      <c r="E700" s="118" t="s">
        <v>493</v>
      </c>
      <c r="F700" s="118"/>
      <c r="G700" s="119">
        <f>G701</f>
        <v>25495</v>
      </c>
      <c r="H700" s="119">
        <f>H701</f>
        <v>18598.37948</v>
      </c>
      <c r="I700" s="215">
        <f t="shared" si="48"/>
        <v>72.949125240243191</v>
      </c>
    </row>
    <row r="701" spans="1:9" s="200" customFormat="1" ht="24" x14ac:dyDescent="0.2">
      <c r="A701" s="112" t="s">
        <v>104</v>
      </c>
      <c r="B701" s="113" t="s">
        <v>407</v>
      </c>
      <c r="C701" s="113" t="s">
        <v>416</v>
      </c>
      <c r="D701" s="113" t="s">
        <v>76</v>
      </c>
      <c r="E701" s="113" t="s">
        <v>493</v>
      </c>
      <c r="F701" s="113" t="s">
        <v>391</v>
      </c>
      <c r="G701" s="114">
        <f>G702</f>
        <v>25495</v>
      </c>
      <c r="H701" s="114">
        <f>H702</f>
        <v>18598.37948</v>
      </c>
      <c r="I701" s="213">
        <f t="shared" si="48"/>
        <v>72.949125240243191</v>
      </c>
    </row>
    <row r="702" spans="1:9" s="201" customFormat="1" ht="24" x14ac:dyDescent="0.2">
      <c r="A702" s="112" t="s">
        <v>139</v>
      </c>
      <c r="B702" s="113" t="s">
        <v>407</v>
      </c>
      <c r="C702" s="113" t="s">
        <v>416</v>
      </c>
      <c r="D702" s="113" t="s">
        <v>76</v>
      </c>
      <c r="E702" s="113" t="s">
        <v>493</v>
      </c>
      <c r="F702" s="113" t="s">
        <v>448</v>
      </c>
      <c r="G702" s="114">
        <f>10495+15000</f>
        <v>25495</v>
      </c>
      <c r="H702" s="114">
        <v>18598.37948</v>
      </c>
      <c r="I702" s="213">
        <f t="shared" si="48"/>
        <v>72.949125240243191</v>
      </c>
    </row>
    <row r="703" spans="1:9" s="200" customFormat="1" ht="24" x14ac:dyDescent="0.2">
      <c r="A703" s="117" t="s">
        <v>157</v>
      </c>
      <c r="B703" s="118" t="s">
        <v>407</v>
      </c>
      <c r="C703" s="118" t="s">
        <v>416</v>
      </c>
      <c r="D703" s="118" t="s">
        <v>76</v>
      </c>
      <c r="E703" s="118" t="s">
        <v>647</v>
      </c>
      <c r="F703" s="118"/>
      <c r="G703" s="129">
        <f>G704</f>
        <v>2500</v>
      </c>
      <c r="H703" s="129">
        <f>H704</f>
        <v>2500</v>
      </c>
      <c r="I703" s="215">
        <f t="shared" si="48"/>
        <v>100</v>
      </c>
    </row>
    <row r="704" spans="1:9" s="175" customFormat="1" x14ac:dyDescent="0.2">
      <c r="A704" s="112" t="s">
        <v>294</v>
      </c>
      <c r="B704" s="113" t="s">
        <v>407</v>
      </c>
      <c r="C704" s="113" t="s">
        <v>416</v>
      </c>
      <c r="D704" s="113" t="s">
        <v>76</v>
      </c>
      <c r="E704" s="113" t="s">
        <v>647</v>
      </c>
      <c r="F704" s="113" t="s">
        <v>84</v>
      </c>
      <c r="G704" s="128">
        <f>G705</f>
        <v>2500</v>
      </c>
      <c r="H704" s="128">
        <f>H705</f>
        <v>2500</v>
      </c>
      <c r="I704" s="213">
        <f t="shared" si="48"/>
        <v>100</v>
      </c>
    </row>
    <row r="705" spans="1:9" s="175" customFormat="1" x14ac:dyDescent="0.2">
      <c r="A705" s="112" t="s">
        <v>85</v>
      </c>
      <c r="B705" s="113" t="s">
        <v>407</v>
      </c>
      <c r="C705" s="113" t="s">
        <v>416</v>
      </c>
      <c r="D705" s="113" t="s">
        <v>76</v>
      </c>
      <c r="E705" s="113" t="s">
        <v>647</v>
      </c>
      <c r="F705" s="113" t="s">
        <v>86</v>
      </c>
      <c r="G705" s="128">
        <v>2500</v>
      </c>
      <c r="H705" s="128">
        <v>2500</v>
      </c>
      <c r="I705" s="213">
        <f t="shared" si="48"/>
        <v>100</v>
      </c>
    </row>
    <row r="706" spans="1:9" s="175" customFormat="1" x14ac:dyDescent="0.2">
      <c r="A706" s="103" t="s">
        <v>360</v>
      </c>
      <c r="B706" s="104" t="s">
        <v>407</v>
      </c>
      <c r="C706" s="104" t="s">
        <v>416</v>
      </c>
      <c r="D706" s="104" t="s">
        <v>477</v>
      </c>
      <c r="E706" s="104"/>
      <c r="F706" s="104"/>
      <c r="G706" s="105">
        <f>G707</f>
        <v>82230</v>
      </c>
      <c r="H706" s="105">
        <f>H707</f>
        <v>45281.939879999998</v>
      </c>
      <c r="I706" s="214">
        <f t="shared" si="48"/>
        <v>55.06742050346589</v>
      </c>
    </row>
    <row r="707" spans="1:9" s="175" customFormat="1" x14ac:dyDescent="0.2">
      <c r="A707" s="117" t="s">
        <v>361</v>
      </c>
      <c r="B707" s="118" t="s">
        <v>407</v>
      </c>
      <c r="C707" s="118" t="s">
        <v>416</v>
      </c>
      <c r="D707" s="118" t="s">
        <v>477</v>
      </c>
      <c r="E707" s="118"/>
      <c r="F707" s="118"/>
      <c r="G707" s="119">
        <f>G708</f>
        <v>82230</v>
      </c>
      <c r="H707" s="119">
        <f>H708</f>
        <v>45281.939879999998</v>
      </c>
      <c r="I707" s="215">
        <f t="shared" si="48"/>
        <v>55.06742050346589</v>
      </c>
    </row>
    <row r="708" spans="1:9" s="174" customFormat="1" ht="40.5" x14ac:dyDescent="0.2">
      <c r="A708" s="116" t="s">
        <v>677</v>
      </c>
      <c r="B708" s="107" t="s">
        <v>407</v>
      </c>
      <c r="C708" s="107" t="s">
        <v>416</v>
      </c>
      <c r="D708" s="107" t="s">
        <v>477</v>
      </c>
      <c r="E708" s="107" t="s">
        <v>237</v>
      </c>
      <c r="F708" s="118"/>
      <c r="G708" s="108">
        <f>G709+G718+G724+G727</f>
        <v>82230</v>
      </c>
      <c r="H708" s="108">
        <f>H709+H718+H724+H727</f>
        <v>45281.939879999998</v>
      </c>
      <c r="I708" s="217">
        <f t="shared" si="48"/>
        <v>55.06742050346589</v>
      </c>
    </row>
    <row r="709" spans="1:9" s="201" customFormat="1" ht="27" x14ac:dyDescent="0.2">
      <c r="A709" s="116" t="s">
        <v>125</v>
      </c>
      <c r="B709" s="107" t="s">
        <v>407</v>
      </c>
      <c r="C709" s="107" t="s">
        <v>416</v>
      </c>
      <c r="D709" s="107" t="s">
        <v>477</v>
      </c>
      <c r="E709" s="107" t="s">
        <v>242</v>
      </c>
      <c r="F709" s="118"/>
      <c r="G709" s="108">
        <f>G710+G715</f>
        <v>16100</v>
      </c>
      <c r="H709" s="108">
        <f>H710+H715</f>
        <v>15477.551030000001</v>
      </c>
      <c r="I709" s="217">
        <f t="shared" si="48"/>
        <v>96.133857329192551</v>
      </c>
    </row>
    <row r="710" spans="1:9" s="201" customFormat="1" x14ac:dyDescent="0.2">
      <c r="A710" s="103" t="s">
        <v>636</v>
      </c>
      <c r="B710" s="104" t="s">
        <v>407</v>
      </c>
      <c r="C710" s="104" t="s">
        <v>416</v>
      </c>
      <c r="D710" s="104" t="s">
        <v>477</v>
      </c>
      <c r="E710" s="104" t="s">
        <v>637</v>
      </c>
      <c r="F710" s="113"/>
      <c r="G710" s="127">
        <f>G711+G713</f>
        <v>14100</v>
      </c>
      <c r="H710" s="127">
        <f>H711+H713</f>
        <v>13648.271130000001</v>
      </c>
      <c r="I710" s="214">
        <f t="shared" si="48"/>
        <v>96.79624914893617</v>
      </c>
    </row>
    <row r="711" spans="1:9" s="201" customFormat="1" x14ac:dyDescent="0.2">
      <c r="A711" s="112" t="s">
        <v>294</v>
      </c>
      <c r="B711" s="130">
        <v>609</v>
      </c>
      <c r="C711" s="131" t="s">
        <v>416</v>
      </c>
      <c r="D711" s="131" t="s">
        <v>477</v>
      </c>
      <c r="E711" s="113" t="s">
        <v>637</v>
      </c>
      <c r="F711" s="113" t="s">
        <v>84</v>
      </c>
      <c r="G711" s="128">
        <f>G712</f>
        <v>3760</v>
      </c>
      <c r="H711" s="128">
        <f>H712</f>
        <v>3574.0135300000002</v>
      </c>
      <c r="I711" s="213">
        <f t="shared" si="48"/>
        <v>95.05355132978724</v>
      </c>
    </row>
    <row r="712" spans="1:9" s="201" customFormat="1" x14ac:dyDescent="0.2">
      <c r="A712" s="112" t="s">
        <v>85</v>
      </c>
      <c r="B712" s="113" t="s">
        <v>407</v>
      </c>
      <c r="C712" s="113" t="s">
        <v>416</v>
      </c>
      <c r="D712" s="113" t="s">
        <v>477</v>
      </c>
      <c r="E712" s="113" t="s">
        <v>637</v>
      </c>
      <c r="F712" s="113" t="s">
        <v>86</v>
      </c>
      <c r="G712" s="128">
        <v>3760</v>
      </c>
      <c r="H712" s="128">
        <v>3574.0135300000002</v>
      </c>
      <c r="I712" s="213">
        <f t="shared" si="48"/>
        <v>95.05355132978724</v>
      </c>
    </row>
    <row r="713" spans="1:9" s="201" customFormat="1" ht="24" x14ac:dyDescent="0.2">
      <c r="A713" s="112" t="s">
        <v>417</v>
      </c>
      <c r="B713" s="130">
        <v>609</v>
      </c>
      <c r="C713" s="131" t="s">
        <v>416</v>
      </c>
      <c r="D713" s="131" t="s">
        <v>477</v>
      </c>
      <c r="E713" s="113" t="s">
        <v>637</v>
      </c>
      <c r="F713" s="113" t="s">
        <v>418</v>
      </c>
      <c r="G713" s="128">
        <f>G714</f>
        <v>10340</v>
      </c>
      <c r="H713" s="128">
        <f>H714</f>
        <v>10074.257600000001</v>
      </c>
      <c r="I713" s="213">
        <f t="shared" si="48"/>
        <v>97.42995744680853</v>
      </c>
    </row>
    <row r="714" spans="1:9" s="201" customFormat="1" x14ac:dyDescent="0.2">
      <c r="A714" s="112" t="s">
        <v>419</v>
      </c>
      <c r="B714" s="113" t="s">
        <v>407</v>
      </c>
      <c r="C714" s="113" t="s">
        <v>416</v>
      </c>
      <c r="D714" s="113" t="s">
        <v>477</v>
      </c>
      <c r="E714" s="113" t="s">
        <v>637</v>
      </c>
      <c r="F714" s="113" t="s">
        <v>420</v>
      </c>
      <c r="G714" s="128">
        <f>14100-3760</f>
        <v>10340</v>
      </c>
      <c r="H714" s="128">
        <v>10074.257600000001</v>
      </c>
      <c r="I714" s="213">
        <f t="shared" si="48"/>
        <v>97.42995744680853</v>
      </c>
    </row>
    <row r="715" spans="1:9" s="200" customFormat="1" x14ac:dyDescent="0.2">
      <c r="A715" s="103" t="s">
        <v>673</v>
      </c>
      <c r="B715" s="104" t="s">
        <v>407</v>
      </c>
      <c r="C715" s="104" t="s">
        <v>416</v>
      </c>
      <c r="D715" s="104" t="s">
        <v>477</v>
      </c>
      <c r="E715" s="104" t="s">
        <v>638</v>
      </c>
      <c r="F715" s="104"/>
      <c r="G715" s="127">
        <f>G716</f>
        <v>2000</v>
      </c>
      <c r="H715" s="127">
        <f>H716</f>
        <v>1829.2799</v>
      </c>
      <c r="I715" s="214">
        <f t="shared" si="48"/>
        <v>91.463994999999997</v>
      </c>
    </row>
    <row r="716" spans="1:9" s="200" customFormat="1" x14ac:dyDescent="0.2">
      <c r="A716" s="112" t="s">
        <v>294</v>
      </c>
      <c r="B716" s="113" t="s">
        <v>407</v>
      </c>
      <c r="C716" s="113" t="s">
        <v>416</v>
      </c>
      <c r="D716" s="113" t="s">
        <v>477</v>
      </c>
      <c r="E716" s="113" t="s">
        <v>638</v>
      </c>
      <c r="F716" s="113" t="s">
        <v>84</v>
      </c>
      <c r="G716" s="128">
        <f>G717</f>
        <v>2000</v>
      </c>
      <c r="H716" s="128">
        <f>H717</f>
        <v>1829.2799</v>
      </c>
      <c r="I716" s="213">
        <f t="shared" si="48"/>
        <v>91.463994999999997</v>
      </c>
    </row>
    <row r="717" spans="1:9" s="200" customFormat="1" x14ac:dyDescent="0.2">
      <c r="A717" s="112" t="s">
        <v>85</v>
      </c>
      <c r="B717" s="113" t="s">
        <v>407</v>
      </c>
      <c r="C717" s="113" t="s">
        <v>416</v>
      </c>
      <c r="D717" s="113" t="s">
        <v>477</v>
      </c>
      <c r="E717" s="113" t="s">
        <v>638</v>
      </c>
      <c r="F717" s="113" t="s">
        <v>86</v>
      </c>
      <c r="G717" s="128">
        <f>1000+1000</f>
        <v>2000</v>
      </c>
      <c r="H717" s="128">
        <v>1829.2799</v>
      </c>
      <c r="I717" s="213">
        <f t="shared" si="48"/>
        <v>91.463994999999997</v>
      </c>
    </row>
    <row r="718" spans="1:9" s="175" customFormat="1" ht="24" x14ac:dyDescent="0.2">
      <c r="A718" s="103" t="s">
        <v>627</v>
      </c>
      <c r="B718" s="104" t="s">
        <v>407</v>
      </c>
      <c r="C718" s="104" t="s">
        <v>416</v>
      </c>
      <c r="D718" s="104" t="s">
        <v>477</v>
      </c>
      <c r="E718" s="104" t="s">
        <v>151</v>
      </c>
      <c r="F718" s="113"/>
      <c r="G718" s="105">
        <f>G719</f>
        <v>59930</v>
      </c>
      <c r="H718" s="105">
        <f>H719</f>
        <v>26804.388849999999</v>
      </c>
      <c r="I718" s="214">
        <f t="shared" si="48"/>
        <v>44.726161938928747</v>
      </c>
    </row>
    <row r="719" spans="1:9" s="175" customFormat="1" ht="24" x14ac:dyDescent="0.2">
      <c r="A719" s="117" t="s">
        <v>628</v>
      </c>
      <c r="B719" s="118" t="s">
        <v>407</v>
      </c>
      <c r="C719" s="118" t="s">
        <v>416</v>
      </c>
      <c r="D719" s="118" t="s">
        <v>477</v>
      </c>
      <c r="E719" s="118" t="s">
        <v>639</v>
      </c>
      <c r="F719" s="132"/>
      <c r="G719" s="119">
        <f>G720+G722</f>
        <v>59930</v>
      </c>
      <c r="H719" s="119">
        <f>H720+H722</f>
        <v>26804.388849999999</v>
      </c>
      <c r="I719" s="215">
        <f t="shared" si="48"/>
        <v>44.726161938928747</v>
      </c>
    </row>
    <row r="720" spans="1:9" s="175" customFormat="1" x14ac:dyDescent="0.2">
      <c r="A720" s="112" t="s">
        <v>294</v>
      </c>
      <c r="B720" s="113" t="s">
        <v>407</v>
      </c>
      <c r="C720" s="113" t="s">
        <v>416</v>
      </c>
      <c r="D720" s="113" t="s">
        <v>477</v>
      </c>
      <c r="E720" s="113" t="s">
        <v>639</v>
      </c>
      <c r="F720" s="113" t="s">
        <v>84</v>
      </c>
      <c r="G720" s="114">
        <f>G721</f>
        <v>40300</v>
      </c>
      <c r="H720" s="114">
        <f>H721</f>
        <v>25813.099330000001</v>
      </c>
      <c r="I720" s="213">
        <f t="shared" si="48"/>
        <v>64.052355657568242</v>
      </c>
    </row>
    <row r="721" spans="1:9" s="175" customFormat="1" x14ac:dyDescent="0.2">
      <c r="A721" s="112" t="s">
        <v>85</v>
      </c>
      <c r="B721" s="113" t="s">
        <v>407</v>
      </c>
      <c r="C721" s="113" t="s">
        <v>416</v>
      </c>
      <c r="D721" s="113" t="s">
        <v>477</v>
      </c>
      <c r="E721" s="113" t="s">
        <v>639</v>
      </c>
      <c r="F721" s="113" t="s">
        <v>86</v>
      </c>
      <c r="G721" s="114">
        <f>2000+21000+1000+100+1000+5500+9700</f>
        <v>40300</v>
      </c>
      <c r="H721" s="114">
        <v>25813.099330000001</v>
      </c>
      <c r="I721" s="213">
        <f t="shared" ref="I721:I786" si="50">H721/G721*100</f>
        <v>64.052355657568242</v>
      </c>
    </row>
    <row r="722" spans="1:9" s="175" customFormat="1" ht="24" x14ac:dyDescent="0.2">
      <c r="A722" s="112" t="s">
        <v>417</v>
      </c>
      <c r="B722" s="130">
        <v>609</v>
      </c>
      <c r="C722" s="131" t="s">
        <v>416</v>
      </c>
      <c r="D722" s="131" t="s">
        <v>477</v>
      </c>
      <c r="E722" s="113" t="s">
        <v>639</v>
      </c>
      <c r="F722" s="113" t="s">
        <v>418</v>
      </c>
      <c r="G722" s="114">
        <f>G723</f>
        <v>19630</v>
      </c>
      <c r="H722" s="114">
        <f>H723</f>
        <v>991.28952000000004</v>
      </c>
      <c r="I722" s="213">
        <f t="shared" si="50"/>
        <v>5.0498701986754968</v>
      </c>
    </row>
    <row r="723" spans="1:9" s="175" customFormat="1" x14ac:dyDescent="0.2">
      <c r="A723" s="112" t="s">
        <v>419</v>
      </c>
      <c r="B723" s="113" t="s">
        <v>407</v>
      </c>
      <c r="C723" s="113" t="s">
        <v>416</v>
      </c>
      <c r="D723" s="113" t="s">
        <v>477</v>
      </c>
      <c r="E723" s="113" t="s">
        <v>639</v>
      </c>
      <c r="F723" s="113" t="s">
        <v>420</v>
      </c>
      <c r="G723" s="114">
        <f>44930-1000-5500-9700-9100</f>
        <v>19630</v>
      </c>
      <c r="H723" s="114">
        <v>991.28952000000004</v>
      </c>
      <c r="I723" s="213">
        <f t="shared" si="50"/>
        <v>5.0498701986754968</v>
      </c>
    </row>
    <row r="724" spans="1:9" s="175" customFormat="1" x14ac:dyDescent="0.2">
      <c r="A724" s="103" t="s">
        <v>152</v>
      </c>
      <c r="B724" s="104" t="s">
        <v>407</v>
      </c>
      <c r="C724" s="104" t="s">
        <v>416</v>
      </c>
      <c r="D724" s="104" t="s">
        <v>477</v>
      </c>
      <c r="E724" s="104" t="s">
        <v>644</v>
      </c>
      <c r="F724" s="104"/>
      <c r="G724" s="105">
        <f>G725</f>
        <v>1200</v>
      </c>
      <c r="H724" s="127">
        <f>H725</f>
        <v>0</v>
      </c>
      <c r="I724" s="127">
        <f t="shared" si="50"/>
        <v>0</v>
      </c>
    </row>
    <row r="725" spans="1:9" s="175" customFormat="1" x14ac:dyDescent="0.2">
      <c r="A725" s="112" t="s">
        <v>294</v>
      </c>
      <c r="B725" s="113" t="s">
        <v>407</v>
      </c>
      <c r="C725" s="113" t="s">
        <v>416</v>
      </c>
      <c r="D725" s="113" t="s">
        <v>477</v>
      </c>
      <c r="E725" s="113" t="s">
        <v>644</v>
      </c>
      <c r="F725" s="113" t="s">
        <v>84</v>
      </c>
      <c r="G725" s="114">
        <f>G726</f>
        <v>1200</v>
      </c>
      <c r="H725" s="128">
        <f>H726</f>
        <v>0</v>
      </c>
      <c r="I725" s="128">
        <f t="shared" si="50"/>
        <v>0</v>
      </c>
    </row>
    <row r="726" spans="1:9" s="175" customFormat="1" x14ac:dyDescent="0.2">
      <c r="A726" s="112" t="s">
        <v>85</v>
      </c>
      <c r="B726" s="113" t="s">
        <v>407</v>
      </c>
      <c r="C726" s="113" t="s">
        <v>416</v>
      </c>
      <c r="D726" s="113" t="s">
        <v>477</v>
      </c>
      <c r="E726" s="113" t="s">
        <v>644</v>
      </c>
      <c r="F726" s="113" t="s">
        <v>86</v>
      </c>
      <c r="G726" s="114">
        <v>1200</v>
      </c>
      <c r="H726" s="128">
        <v>0</v>
      </c>
      <c r="I726" s="128">
        <f t="shared" si="50"/>
        <v>0</v>
      </c>
    </row>
    <row r="727" spans="1:9" s="175" customFormat="1" x14ac:dyDescent="0.2">
      <c r="A727" s="103" t="s">
        <v>434</v>
      </c>
      <c r="B727" s="104" t="s">
        <v>436</v>
      </c>
      <c r="C727" s="104" t="s">
        <v>416</v>
      </c>
      <c r="D727" s="104" t="s">
        <v>477</v>
      </c>
      <c r="E727" s="104" t="s">
        <v>126</v>
      </c>
      <c r="F727" s="104"/>
      <c r="G727" s="105">
        <f t="shared" ref="G727:H729" si="51">G728</f>
        <v>5000</v>
      </c>
      <c r="H727" s="105">
        <f t="shared" si="51"/>
        <v>3000</v>
      </c>
      <c r="I727" s="214">
        <f t="shared" si="50"/>
        <v>60</v>
      </c>
    </row>
    <row r="728" spans="1:9" s="175" customFormat="1" x14ac:dyDescent="0.2">
      <c r="A728" s="117" t="s">
        <v>650</v>
      </c>
      <c r="B728" s="118" t="s">
        <v>407</v>
      </c>
      <c r="C728" s="118" t="s">
        <v>416</v>
      </c>
      <c r="D728" s="118" t="s">
        <v>477</v>
      </c>
      <c r="E728" s="118" t="s">
        <v>651</v>
      </c>
      <c r="F728" s="118"/>
      <c r="G728" s="119">
        <f t="shared" si="51"/>
        <v>5000</v>
      </c>
      <c r="H728" s="119">
        <f t="shared" si="51"/>
        <v>3000</v>
      </c>
      <c r="I728" s="215">
        <f t="shared" si="50"/>
        <v>60</v>
      </c>
    </row>
    <row r="729" spans="1:9" s="175" customFormat="1" x14ac:dyDescent="0.2">
      <c r="A729" s="112" t="s">
        <v>294</v>
      </c>
      <c r="B729" s="113" t="s">
        <v>407</v>
      </c>
      <c r="C729" s="113" t="s">
        <v>416</v>
      </c>
      <c r="D729" s="113" t="s">
        <v>477</v>
      </c>
      <c r="E729" s="113" t="s">
        <v>651</v>
      </c>
      <c r="F729" s="113" t="s">
        <v>84</v>
      </c>
      <c r="G729" s="114">
        <f t="shared" si="51"/>
        <v>5000</v>
      </c>
      <c r="H729" s="114">
        <f t="shared" si="51"/>
        <v>3000</v>
      </c>
      <c r="I729" s="213">
        <f t="shared" si="50"/>
        <v>60</v>
      </c>
    </row>
    <row r="730" spans="1:9" s="175" customFormat="1" x14ac:dyDescent="0.2">
      <c r="A730" s="112" t="s">
        <v>85</v>
      </c>
      <c r="B730" s="113" t="s">
        <v>407</v>
      </c>
      <c r="C730" s="113" t="s">
        <v>416</v>
      </c>
      <c r="D730" s="113" t="s">
        <v>477</v>
      </c>
      <c r="E730" s="113" t="s">
        <v>651</v>
      </c>
      <c r="F730" s="113" t="s">
        <v>86</v>
      </c>
      <c r="G730" s="114">
        <v>5000</v>
      </c>
      <c r="H730" s="114">
        <v>3000</v>
      </c>
      <c r="I730" s="213">
        <f t="shared" si="50"/>
        <v>60</v>
      </c>
    </row>
    <row r="731" spans="1:9" s="175" customFormat="1" x14ac:dyDescent="0.2">
      <c r="A731" s="103" t="s">
        <v>362</v>
      </c>
      <c r="B731" s="104" t="s">
        <v>407</v>
      </c>
      <c r="C731" s="104" t="s">
        <v>416</v>
      </c>
      <c r="D731" s="104" t="s">
        <v>469</v>
      </c>
      <c r="E731" s="104"/>
      <c r="F731" s="104"/>
      <c r="G731" s="105">
        <f>G732</f>
        <v>141829.9</v>
      </c>
      <c r="H731" s="105">
        <f>H732</f>
        <v>131487.86611999999</v>
      </c>
      <c r="I731" s="214">
        <f t="shared" si="50"/>
        <v>92.708142725899123</v>
      </c>
    </row>
    <row r="732" spans="1:9" s="175" customFormat="1" ht="40.5" x14ac:dyDescent="0.2">
      <c r="A732" s="116" t="s">
        <v>677</v>
      </c>
      <c r="B732" s="107" t="s">
        <v>407</v>
      </c>
      <c r="C732" s="107" t="s">
        <v>416</v>
      </c>
      <c r="D732" s="107" t="s">
        <v>469</v>
      </c>
      <c r="E732" s="107" t="s">
        <v>237</v>
      </c>
      <c r="F732" s="107"/>
      <c r="G732" s="108">
        <f>G733</f>
        <v>141829.9</v>
      </c>
      <c r="H732" s="108">
        <f>H733</f>
        <v>131487.86611999999</v>
      </c>
      <c r="I732" s="217">
        <f t="shared" si="50"/>
        <v>92.708142725899123</v>
      </c>
    </row>
    <row r="733" spans="1:9" s="175" customFormat="1" x14ac:dyDescent="0.2">
      <c r="A733" s="103" t="s">
        <v>434</v>
      </c>
      <c r="B733" s="104" t="s">
        <v>436</v>
      </c>
      <c r="C733" s="104" t="s">
        <v>416</v>
      </c>
      <c r="D733" s="104" t="s">
        <v>469</v>
      </c>
      <c r="E733" s="104" t="s">
        <v>126</v>
      </c>
      <c r="F733" s="104"/>
      <c r="G733" s="105">
        <f>G734+G737+G740</f>
        <v>141829.9</v>
      </c>
      <c r="H733" s="105">
        <f>H734+H737+H740</f>
        <v>131487.86611999999</v>
      </c>
      <c r="I733" s="214">
        <f t="shared" si="50"/>
        <v>92.708142725899123</v>
      </c>
    </row>
    <row r="734" spans="1:9" s="200" customFormat="1" x14ac:dyDescent="0.2">
      <c r="A734" s="117" t="s">
        <v>60</v>
      </c>
      <c r="B734" s="118" t="s">
        <v>436</v>
      </c>
      <c r="C734" s="118" t="s">
        <v>416</v>
      </c>
      <c r="D734" s="118" t="s">
        <v>469</v>
      </c>
      <c r="E734" s="118" t="s">
        <v>645</v>
      </c>
      <c r="F734" s="132"/>
      <c r="G734" s="119">
        <f>G735</f>
        <v>22829.9</v>
      </c>
      <c r="H734" s="119">
        <f>H735</f>
        <v>22828.313419999999</v>
      </c>
      <c r="I734" s="215">
        <f t="shared" si="50"/>
        <v>99.993050429480618</v>
      </c>
    </row>
    <row r="735" spans="1:9" s="175" customFormat="1" ht="24" x14ac:dyDescent="0.2">
      <c r="A735" s="112" t="s">
        <v>104</v>
      </c>
      <c r="B735" s="113" t="s">
        <v>407</v>
      </c>
      <c r="C735" s="113" t="s">
        <v>416</v>
      </c>
      <c r="D735" s="113" t="s">
        <v>469</v>
      </c>
      <c r="E735" s="113" t="s">
        <v>645</v>
      </c>
      <c r="F735" s="113" t="s">
        <v>391</v>
      </c>
      <c r="G735" s="114">
        <f>G736</f>
        <v>22829.9</v>
      </c>
      <c r="H735" s="114">
        <f>H736</f>
        <v>22828.313419999999</v>
      </c>
      <c r="I735" s="213">
        <f t="shared" si="50"/>
        <v>99.993050429480618</v>
      </c>
    </row>
    <row r="736" spans="1:9" s="200" customFormat="1" x14ac:dyDescent="0.2">
      <c r="A736" s="112" t="s">
        <v>105</v>
      </c>
      <c r="B736" s="113" t="s">
        <v>407</v>
      </c>
      <c r="C736" s="113" t="s">
        <v>416</v>
      </c>
      <c r="D736" s="113" t="s">
        <v>469</v>
      </c>
      <c r="E736" s="113" t="s">
        <v>645</v>
      </c>
      <c r="F736" s="113" t="s">
        <v>409</v>
      </c>
      <c r="G736" s="114">
        <f>22385+444.9</f>
        <v>22829.9</v>
      </c>
      <c r="H736" s="114">
        <v>22828.313419999999</v>
      </c>
      <c r="I736" s="213">
        <f t="shared" si="50"/>
        <v>99.993050429480618</v>
      </c>
    </row>
    <row r="737" spans="1:9" s="200" customFormat="1" ht="36" x14ac:dyDescent="0.2">
      <c r="A737" s="133" t="s">
        <v>348</v>
      </c>
      <c r="B737" s="118" t="s">
        <v>407</v>
      </c>
      <c r="C737" s="118" t="s">
        <v>416</v>
      </c>
      <c r="D737" s="118" t="s">
        <v>469</v>
      </c>
      <c r="E737" s="118" t="s">
        <v>648</v>
      </c>
      <c r="F737" s="118"/>
      <c r="G737" s="129">
        <f>G738</f>
        <v>34000</v>
      </c>
      <c r="H737" s="129">
        <f>H738</f>
        <v>34000</v>
      </c>
      <c r="I737" s="215">
        <f t="shared" si="50"/>
        <v>100</v>
      </c>
    </row>
    <row r="738" spans="1:9" s="200" customFormat="1" x14ac:dyDescent="0.2">
      <c r="A738" s="112" t="s">
        <v>87</v>
      </c>
      <c r="B738" s="113" t="s">
        <v>407</v>
      </c>
      <c r="C738" s="113" t="s">
        <v>416</v>
      </c>
      <c r="D738" s="113" t="s">
        <v>469</v>
      </c>
      <c r="E738" s="113" t="s">
        <v>648</v>
      </c>
      <c r="F738" s="113" t="s">
        <v>88</v>
      </c>
      <c r="G738" s="128">
        <f>G739</f>
        <v>34000</v>
      </c>
      <c r="H738" s="128">
        <f>H739</f>
        <v>34000</v>
      </c>
      <c r="I738" s="213">
        <f t="shared" si="50"/>
        <v>100</v>
      </c>
    </row>
    <row r="739" spans="1:9" s="200" customFormat="1" ht="24" x14ac:dyDescent="0.2">
      <c r="A739" s="112" t="s">
        <v>499</v>
      </c>
      <c r="B739" s="113" t="s">
        <v>407</v>
      </c>
      <c r="C739" s="113" t="s">
        <v>416</v>
      </c>
      <c r="D739" s="113" t="s">
        <v>469</v>
      </c>
      <c r="E739" s="113" t="s">
        <v>648</v>
      </c>
      <c r="F739" s="113" t="s">
        <v>414</v>
      </c>
      <c r="G739" s="128">
        <v>34000</v>
      </c>
      <c r="H739" s="128">
        <v>34000</v>
      </c>
      <c r="I739" s="213">
        <f t="shared" si="50"/>
        <v>100</v>
      </c>
    </row>
    <row r="740" spans="1:9" s="200" customFormat="1" x14ac:dyDescent="0.2">
      <c r="A740" s="117" t="s">
        <v>243</v>
      </c>
      <c r="B740" s="118" t="s">
        <v>407</v>
      </c>
      <c r="C740" s="118" t="s">
        <v>416</v>
      </c>
      <c r="D740" s="118" t="s">
        <v>469</v>
      </c>
      <c r="E740" s="118" t="s">
        <v>649</v>
      </c>
      <c r="F740" s="118"/>
      <c r="G740" s="119">
        <f>G741</f>
        <v>85000</v>
      </c>
      <c r="H740" s="119">
        <f>H741</f>
        <v>74659.5527</v>
      </c>
      <c r="I740" s="129">
        <f t="shared" si="50"/>
        <v>87.834767882352935</v>
      </c>
    </row>
    <row r="741" spans="1:9" s="200" customFormat="1" x14ac:dyDescent="0.2">
      <c r="A741" s="112" t="s">
        <v>294</v>
      </c>
      <c r="B741" s="113" t="s">
        <v>407</v>
      </c>
      <c r="C741" s="113" t="s">
        <v>416</v>
      </c>
      <c r="D741" s="113" t="s">
        <v>469</v>
      </c>
      <c r="E741" s="113" t="s">
        <v>649</v>
      </c>
      <c r="F741" s="113" t="s">
        <v>84</v>
      </c>
      <c r="G741" s="114">
        <f>G742</f>
        <v>85000</v>
      </c>
      <c r="H741" s="114">
        <f>H742</f>
        <v>74659.5527</v>
      </c>
      <c r="I741" s="128">
        <f t="shared" si="50"/>
        <v>87.834767882352935</v>
      </c>
    </row>
    <row r="742" spans="1:9" s="200" customFormat="1" x14ac:dyDescent="0.2">
      <c r="A742" s="112" t="s">
        <v>85</v>
      </c>
      <c r="B742" s="113" t="s">
        <v>407</v>
      </c>
      <c r="C742" s="113" t="s">
        <v>416</v>
      </c>
      <c r="D742" s="113" t="s">
        <v>469</v>
      </c>
      <c r="E742" s="113" t="s">
        <v>649</v>
      </c>
      <c r="F742" s="113" t="s">
        <v>86</v>
      </c>
      <c r="G742" s="114">
        <v>85000</v>
      </c>
      <c r="H742" s="114">
        <v>74659.5527</v>
      </c>
      <c r="I742" s="128">
        <f t="shared" si="50"/>
        <v>87.834767882352935</v>
      </c>
    </row>
    <row r="743" spans="1:9" s="200" customFormat="1" x14ac:dyDescent="0.2">
      <c r="A743" s="103" t="s">
        <v>363</v>
      </c>
      <c r="B743" s="104" t="s">
        <v>407</v>
      </c>
      <c r="C743" s="104" t="s">
        <v>416</v>
      </c>
      <c r="D743" s="104" t="s">
        <v>416</v>
      </c>
      <c r="E743" s="104"/>
      <c r="F743" s="104"/>
      <c r="G743" s="105">
        <f>G744+G756</f>
        <v>24767.757140000002</v>
      </c>
      <c r="H743" s="105">
        <f>H744+H756</f>
        <v>22532.719590000001</v>
      </c>
      <c r="I743" s="127">
        <f t="shared" si="50"/>
        <v>90.976019599326534</v>
      </c>
    </row>
    <row r="744" spans="1:9" s="175" customFormat="1" ht="40.5" x14ac:dyDescent="0.2">
      <c r="A744" s="116" t="s">
        <v>677</v>
      </c>
      <c r="B744" s="107" t="s">
        <v>407</v>
      </c>
      <c r="C744" s="107" t="s">
        <v>416</v>
      </c>
      <c r="D744" s="107" t="s">
        <v>416</v>
      </c>
      <c r="E744" s="107" t="s">
        <v>237</v>
      </c>
      <c r="F744" s="107"/>
      <c r="G744" s="108">
        <f>G745+G761</f>
        <v>24357.003000000001</v>
      </c>
      <c r="H744" s="108">
        <f>H745+H761</f>
        <v>22121.96545</v>
      </c>
      <c r="I744" s="155">
        <f t="shared" si="50"/>
        <v>90.823840067679924</v>
      </c>
    </row>
    <row r="745" spans="1:9" s="175" customFormat="1" x14ac:dyDescent="0.2">
      <c r="A745" s="103" t="s">
        <v>434</v>
      </c>
      <c r="B745" s="104" t="s">
        <v>407</v>
      </c>
      <c r="C745" s="104" t="s">
        <v>416</v>
      </c>
      <c r="D745" s="104" t="s">
        <v>416</v>
      </c>
      <c r="E745" s="104" t="s">
        <v>126</v>
      </c>
      <c r="F745" s="113"/>
      <c r="G745" s="105">
        <f>G746</f>
        <v>14850</v>
      </c>
      <c r="H745" s="105">
        <f>H746</f>
        <v>13721.68809</v>
      </c>
      <c r="I745" s="127">
        <f t="shared" si="50"/>
        <v>92.401939999999996</v>
      </c>
    </row>
    <row r="746" spans="1:9" s="175" customFormat="1" ht="24" x14ac:dyDescent="0.2">
      <c r="A746" s="103" t="s">
        <v>245</v>
      </c>
      <c r="B746" s="104" t="s">
        <v>407</v>
      </c>
      <c r="C746" s="104" t="s">
        <v>416</v>
      </c>
      <c r="D746" s="104" t="s">
        <v>416</v>
      </c>
      <c r="E746" s="104" t="s">
        <v>126</v>
      </c>
      <c r="F746" s="113"/>
      <c r="G746" s="105">
        <f>G747</f>
        <v>14850</v>
      </c>
      <c r="H746" s="105">
        <f>H747</f>
        <v>13721.68809</v>
      </c>
      <c r="I746" s="127">
        <f t="shared" si="50"/>
        <v>92.401939999999996</v>
      </c>
    </row>
    <row r="747" spans="1:9" s="175" customFormat="1" ht="24" x14ac:dyDescent="0.2">
      <c r="A747" s="117" t="s">
        <v>393</v>
      </c>
      <c r="B747" s="118" t="s">
        <v>407</v>
      </c>
      <c r="C747" s="118" t="s">
        <v>416</v>
      </c>
      <c r="D747" s="118" t="s">
        <v>416</v>
      </c>
      <c r="E747" s="118" t="s">
        <v>126</v>
      </c>
      <c r="F747" s="118"/>
      <c r="G747" s="119">
        <f>G748+G751</f>
        <v>14850</v>
      </c>
      <c r="H747" s="119">
        <f>H748+H751</f>
        <v>13721.68809</v>
      </c>
      <c r="I747" s="129">
        <f t="shared" si="50"/>
        <v>92.401939999999996</v>
      </c>
    </row>
    <row r="748" spans="1:9" s="175" customFormat="1" x14ac:dyDescent="0.2">
      <c r="A748" s="120" t="s">
        <v>375</v>
      </c>
      <c r="B748" s="104" t="s">
        <v>407</v>
      </c>
      <c r="C748" s="104" t="s">
        <v>416</v>
      </c>
      <c r="D748" s="104" t="s">
        <v>416</v>
      </c>
      <c r="E748" s="104" t="s">
        <v>494</v>
      </c>
      <c r="F748" s="104"/>
      <c r="G748" s="105">
        <f>G749</f>
        <v>13650</v>
      </c>
      <c r="H748" s="105">
        <f>H749</f>
        <v>12837.15036</v>
      </c>
      <c r="I748" s="127">
        <f t="shared" si="50"/>
        <v>94.045057582417584</v>
      </c>
    </row>
    <row r="749" spans="1:9" s="175" customFormat="1" ht="36" x14ac:dyDescent="0.2">
      <c r="A749" s="112" t="s">
        <v>79</v>
      </c>
      <c r="B749" s="113" t="s">
        <v>407</v>
      </c>
      <c r="C749" s="113" t="s">
        <v>416</v>
      </c>
      <c r="D749" s="113" t="s">
        <v>416</v>
      </c>
      <c r="E749" s="113" t="s">
        <v>494</v>
      </c>
      <c r="F749" s="113" t="s">
        <v>80</v>
      </c>
      <c r="G749" s="114">
        <f>G750</f>
        <v>13650</v>
      </c>
      <c r="H749" s="114">
        <f>H750</f>
        <v>12837.15036</v>
      </c>
      <c r="I749" s="128">
        <f t="shared" si="50"/>
        <v>94.045057582417584</v>
      </c>
    </row>
    <row r="750" spans="1:9" s="175" customFormat="1" x14ac:dyDescent="0.2">
      <c r="A750" s="112" t="s">
        <v>81</v>
      </c>
      <c r="B750" s="113" t="s">
        <v>407</v>
      </c>
      <c r="C750" s="113" t="s">
        <v>416</v>
      </c>
      <c r="D750" s="113" t="s">
        <v>416</v>
      </c>
      <c r="E750" s="113" t="s">
        <v>494</v>
      </c>
      <c r="F750" s="113" t="s">
        <v>82</v>
      </c>
      <c r="G750" s="114">
        <f>10430+100+3120</f>
        <v>13650</v>
      </c>
      <c r="H750" s="114">
        <v>12837.15036</v>
      </c>
      <c r="I750" s="128">
        <f t="shared" si="50"/>
        <v>94.045057582417584</v>
      </c>
    </row>
    <row r="751" spans="1:9" s="175" customFormat="1" x14ac:dyDescent="0.2">
      <c r="A751" s="103" t="s">
        <v>83</v>
      </c>
      <c r="B751" s="104" t="s">
        <v>407</v>
      </c>
      <c r="C751" s="104" t="s">
        <v>416</v>
      </c>
      <c r="D751" s="104" t="s">
        <v>416</v>
      </c>
      <c r="E751" s="104" t="s">
        <v>495</v>
      </c>
      <c r="F751" s="104"/>
      <c r="G751" s="105">
        <f>G752+G754</f>
        <v>1200</v>
      </c>
      <c r="H751" s="105">
        <f>H752+H754</f>
        <v>884.53773000000001</v>
      </c>
      <c r="I751" s="127">
        <f t="shared" si="50"/>
        <v>73.711477500000001</v>
      </c>
    </row>
    <row r="752" spans="1:9" s="175" customFormat="1" x14ac:dyDescent="0.2">
      <c r="A752" s="112" t="s">
        <v>294</v>
      </c>
      <c r="B752" s="113" t="s">
        <v>407</v>
      </c>
      <c r="C752" s="113" t="s">
        <v>416</v>
      </c>
      <c r="D752" s="113" t="s">
        <v>416</v>
      </c>
      <c r="E752" s="113" t="s">
        <v>495</v>
      </c>
      <c r="F752" s="113" t="s">
        <v>84</v>
      </c>
      <c r="G752" s="114">
        <f>G753</f>
        <v>1170</v>
      </c>
      <c r="H752" s="114">
        <f>H753</f>
        <v>882.86514</v>
      </c>
      <c r="I752" s="128">
        <f t="shared" si="50"/>
        <v>75.458558974358965</v>
      </c>
    </row>
    <row r="753" spans="1:9" s="175" customFormat="1" x14ac:dyDescent="0.2">
      <c r="A753" s="112" t="s">
        <v>85</v>
      </c>
      <c r="B753" s="113" t="s">
        <v>407</v>
      </c>
      <c r="C753" s="113" t="s">
        <v>416</v>
      </c>
      <c r="D753" s="113" t="s">
        <v>416</v>
      </c>
      <c r="E753" s="113" t="s">
        <v>495</v>
      </c>
      <c r="F753" s="113" t="s">
        <v>86</v>
      </c>
      <c r="G753" s="114">
        <f>270+150+350+70+330</f>
        <v>1170</v>
      </c>
      <c r="H753" s="114">
        <v>882.86514</v>
      </c>
      <c r="I753" s="128">
        <f t="shared" si="50"/>
        <v>75.458558974358965</v>
      </c>
    </row>
    <row r="754" spans="1:9" s="175" customFormat="1" x14ac:dyDescent="0.2">
      <c r="A754" s="112" t="s">
        <v>87</v>
      </c>
      <c r="B754" s="113" t="s">
        <v>407</v>
      </c>
      <c r="C754" s="113" t="s">
        <v>416</v>
      </c>
      <c r="D754" s="113" t="s">
        <v>416</v>
      </c>
      <c r="E754" s="113" t="s">
        <v>495</v>
      </c>
      <c r="F754" s="113" t="s">
        <v>88</v>
      </c>
      <c r="G754" s="114">
        <f>G755</f>
        <v>30</v>
      </c>
      <c r="H754" s="114">
        <f>H755</f>
        <v>1.67259</v>
      </c>
      <c r="I754" s="128">
        <f t="shared" si="50"/>
        <v>5.5753000000000004</v>
      </c>
    </row>
    <row r="755" spans="1:9" s="175" customFormat="1" x14ac:dyDescent="0.2">
      <c r="A755" s="112" t="s">
        <v>500</v>
      </c>
      <c r="B755" s="113" t="s">
        <v>407</v>
      </c>
      <c r="C755" s="113" t="s">
        <v>416</v>
      </c>
      <c r="D755" s="113" t="s">
        <v>416</v>
      </c>
      <c r="E755" s="113" t="s">
        <v>495</v>
      </c>
      <c r="F755" s="113" t="s">
        <v>89</v>
      </c>
      <c r="G755" s="114">
        <v>30</v>
      </c>
      <c r="H755" s="114">
        <v>1.67259</v>
      </c>
      <c r="I755" s="128">
        <f t="shared" si="50"/>
        <v>5.5753000000000004</v>
      </c>
    </row>
    <row r="756" spans="1:9" s="175" customFormat="1" x14ac:dyDescent="0.2">
      <c r="A756" s="138" t="s">
        <v>74</v>
      </c>
      <c r="B756" s="118" t="s">
        <v>407</v>
      </c>
      <c r="C756" s="118" t="s">
        <v>416</v>
      </c>
      <c r="D756" s="118" t="s">
        <v>416</v>
      </c>
      <c r="E756" s="118" t="s">
        <v>209</v>
      </c>
      <c r="F756" s="118"/>
      <c r="G756" s="119">
        <f t="shared" ref="G756:H759" si="52">G757</f>
        <v>410.75414000000001</v>
      </c>
      <c r="H756" s="119">
        <f t="shared" si="52"/>
        <v>410.75414000000001</v>
      </c>
      <c r="I756" s="129">
        <f t="shared" si="50"/>
        <v>100</v>
      </c>
    </row>
    <row r="757" spans="1:9" s="175" customFormat="1" x14ac:dyDescent="0.2">
      <c r="A757" s="120" t="s">
        <v>297</v>
      </c>
      <c r="B757" s="104" t="s">
        <v>407</v>
      </c>
      <c r="C757" s="104" t="s">
        <v>416</v>
      </c>
      <c r="D757" s="104" t="s">
        <v>416</v>
      </c>
      <c r="E757" s="104" t="s">
        <v>210</v>
      </c>
      <c r="F757" s="104"/>
      <c r="G757" s="105">
        <f t="shared" si="52"/>
        <v>410.75414000000001</v>
      </c>
      <c r="H757" s="105">
        <f t="shared" si="52"/>
        <v>410.75414000000001</v>
      </c>
      <c r="I757" s="127">
        <f t="shared" si="50"/>
        <v>100</v>
      </c>
    </row>
    <row r="758" spans="1:9" s="175" customFormat="1" ht="24" x14ac:dyDescent="0.2">
      <c r="A758" s="117" t="s">
        <v>768</v>
      </c>
      <c r="B758" s="118" t="s">
        <v>407</v>
      </c>
      <c r="C758" s="118" t="s">
        <v>416</v>
      </c>
      <c r="D758" s="118" t="s">
        <v>416</v>
      </c>
      <c r="E758" s="118" t="s">
        <v>769</v>
      </c>
      <c r="F758" s="118"/>
      <c r="G758" s="119">
        <f t="shared" si="52"/>
        <v>410.75414000000001</v>
      </c>
      <c r="H758" s="119">
        <f t="shared" si="52"/>
        <v>410.75414000000001</v>
      </c>
      <c r="I758" s="119">
        <f t="shared" si="50"/>
        <v>100</v>
      </c>
    </row>
    <row r="759" spans="1:9" s="175" customFormat="1" ht="36" x14ac:dyDescent="0.2">
      <c r="A759" s="112" t="s">
        <v>79</v>
      </c>
      <c r="B759" s="113" t="s">
        <v>407</v>
      </c>
      <c r="C759" s="113" t="s">
        <v>416</v>
      </c>
      <c r="D759" s="113" t="s">
        <v>416</v>
      </c>
      <c r="E759" s="113" t="s">
        <v>769</v>
      </c>
      <c r="F759" s="113" t="s">
        <v>80</v>
      </c>
      <c r="G759" s="114">
        <f t="shared" si="52"/>
        <v>410.75414000000001</v>
      </c>
      <c r="H759" s="114">
        <f t="shared" si="52"/>
        <v>410.75414000000001</v>
      </c>
      <c r="I759" s="114">
        <f t="shared" si="50"/>
        <v>100</v>
      </c>
    </row>
    <row r="760" spans="1:9" s="175" customFormat="1" x14ac:dyDescent="0.2">
      <c r="A760" s="112" t="s">
        <v>81</v>
      </c>
      <c r="B760" s="113" t="s">
        <v>407</v>
      </c>
      <c r="C760" s="113" t="s">
        <v>416</v>
      </c>
      <c r="D760" s="113" t="s">
        <v>416</v>
      </c>
      <c r="E760" s="113" t="s">
        <v>769</v>
      </c>
      <c r="F760" s="113" t="s">
        <v>82</v>
      </c>
      <c r="G760" s="114">
        <v>410.75414000000001</v>
      </c>
      <c r="H760" s="114">
        <v>410.75414000000001</v>
      </c>
      <c r="I760" s="114">
        <f t="shared" si="50"/>
        <v>100</v>
      </c>
    </row>
    <row r="761" spans="1:9" s="175" customFormat="1" x14ac:dyDescent="0.2">
      <c r="A761" s="134" t="s">
        <v>61</v>
      </c>
      <c r="B761" s="104" t="s">
        <v>407</v>
      </c>
      <c r="C761" s="104" t="s">
        <v>416</v>
      </c>
      <c r="D761" s="104" t="s">
        <v>416</v>
      </c>
      <c r="E761" s="135" t="s">
        <v>646</v>
      </c>
      <c r="F761" s="104"/>
      <c r="G761" s="105">
        <f>G762</f>
        <v>9507.0030000000006</v>
      </c>
      <c r="H761" s="105">
        <f>H762</f>
        <v>8400.27736</v>
      </c>
      <c r="I761" s="127">
        <f t="shared" si="50"/>
        <v>88.358837795675456</v>
      </c>
    </row>
    <row r="762" spans="1:9" s="175" customFormat="1" x14ac:dyDescent="0.2">
      <c r="A762" s="136" t="s">
        <v>471</v>
      </c>
      <c r="B762" s="132" t="s">
        <v>407</v>
      </c>
      <c r="C762" s="132" t="s">
        <v>416</v>
      </c>
      <c r="D762" s="132" t="s">
        <v>416</v>
      </c>
      <c r="E762" s="132" t="s">
        <v>646</v>
      </c>
      <c r="F762" s="132"/>
      <c r="G762" s="137">
        <f>G763+G765+G767</f>
        <v>9507.0030000000006</v>
      </c>
      <c r="H762" s="137">
        <f>H763+H765+H767</f>
        <v>8400.27736</v>
      </c>
      <c r="I762" s="204">
        <f t="shared" si="50"/>
        <v>88.358837795675456</v>
      </c>
    </row>
    <row r="763" spans="1:9" s="175" customFormat="1" ht="36" x14ac:dyDescent="0.2">
      <c r="A763" s="112" t="s">
        <v>79</v>
      </c>
      <c r="B763" s="113" t="s">
        <v>407</v>
      </c>
      <c r="C763" s="113" t="s">
        <v>416</v>
      </c>
      <c r="D763" s="113" t="s">
        <v>416</v>
      </c>
      <c r="E763" s="113" t="s">
        <v>646</v>
      </c>
      <c r="F763" s="113" t="s">
        <v>80</v>
      </c>
      <c r="G763" s="114">
        <f>G764</f>
        <v>6626.4064500000004</v>
      </c>
      <c r="H763" s="114">
        <f>H764</f>
        <v>6003.0989200000004</v>
      </c>
      <c r="I763" s="128">
        <f t="shared" si="50"/>
        <v>90.593581382258861</v>
      </c>
    </row>
    <row r="764" spans="1:9" s="175" customFormat="1" x14ac:dyDescent="0.2">
      <c r="A764" s="112" t="s">
        <v>472</v>
      </c>
      <c r="B764" s="113" t="s">
        <v>407</v>
      </c>
      <c r="C764" s="113" t="s">
        <v>416</v>
      </c>
      <c r="D764" s="113" t="s">
        <v>416</v>
      </c>
      <c r="E764" s="113" t="s">
        <v>646</v>
      </c>
      <c r="F764" s="113" t="s">
        <v>473</v>
      </c>
      <c r="G764" s="114">
        <f>2816+850+1120+340+1500.40645</f>
        <v>6626.4064500000004</v>
      </c>
      <c r="H764" s="114">
        <v>6003.0989200000004</v>
      </c>
      <c r="I764" s="128">
        <f t="shared" si="50"/>
        <v>90.593581382258861</v>
      </c>
    </row>
    <row r="765" spans="1:9" s="175" customFormat="1" x14ac:dyDescent="0.2">
      <c r="A765" s="112" t="s">
        <v>294</v>
      </c>
      <c r="B765" s="113" t="s">
        <v>407</v>
      </c>
      <c r="C765" s="113" t="s">
        <v>416</v>
      </c>
      <c r="D765" s="113" t="s">
        <v>416</v>
      </c>
      <c r="E765" s="113" t="s">
        <v>646</v>
      </c>
      <c r="F765" s="113" t="s">
        <v>84</v>
      </c>
      <c r="G765" s="114">
        <f>G766</f>
        <v>2058.5865500000004</v>
      </c>
      <c r="H765" s="114">
        <f>H766</f>
        <v>1585.55844</v>
      </c>
      <c r="I765" s="128">
        <f t="shared" si="50"/>
        <v>77.021704042514003</v>
      </c>
    </row>
    <row r="766" spans="1:9" s="175" customFormat="1" x14ac:dyDescent="0.2">
      <c r="A766" s="112" t="s">
        <v>85</v>
      </c>
      <c r="B766" s="113" t="s">
        <v>407</v>
      </c>
      <c r="C766" s="113" t="s">
        <v>416</v>
      </c>
      <c r="D766" s="113" t="s">
        <v>416</v>
      </c>
      <c r="E766" s="113" t="s">
        <v>646</v>
      </c>
      <c r="F766" s="113" t="s">
        <v>86</v>
      </c>
      <c r="G766" s="114">
        <f>78.7+69+120+194.5+20+3+80+30+30+648+708.39655-8.3+85.29</f>
        <v>2058.5865500000004</v>
      </c>
      <c r="H766" s="114">
        <v>1585.55844</v>
      </c>
      <c r="I766" s="128">
        <f t="shared" si="50"/>
        <v>77.021704042514003</v>
      </c>
    </row>
    <row r="767" spans="1:9" s="175" customFormat="1" x14ac:dyDescent="0.2">
      <c r="A767" s="112" t="s">
        <v>87</v>
      </c>
      <c r="B767" s="113" t="s">
        <v>407</v>
      </c>
      <c r="C767" s="113" t="s">
        <v>416</v>
      </c>
      <c r="D767" s="113" t="s">
        <v>416</v>
      </c>
      <c r="E767" s="113" t="s">
        <v>646</v>
      </c>
      <c r="F767" s="113" t="s">
        <v>88</v>
      </c>
      <c r="G767" s="114">
        <f>G768</f>
        <v>822.01</v>
      </c>
      <c r="H767" s="114">
        <f>H768</f>
        <v>811.62</v>
      </c>
      <c r="I767" s="128">
        <f t="shared" si="50"/>
        <v>98.736025109183586</v>
      </c>
    </row>
    <row r="768" spans="1:9" s="175" customFormat="1" x14ac:dyDescent="0.2">
      <c r="A768" s="112" t="s">
        <v>500</v>
      </c>
      <c r="B768" s="113" t="s">
        <v>407</v>
      </c>
      <c r="C768" s="113" t="s">
        <v>416</v>
      </c>
      <c r="D768" s="113" t="s">
        <v>416</v>
      </c>
      <c r="E768" s="113" t="s">
        <v>646</v>
      </c>
      <c r="F768" s="113" t="s">
        <v>89</v>
      </c>
      <c r="G768" s="114">
        <f>520+9+8.3+370-85.29</f>
        <v>822.01</v>
      </c>
      <c r="H768" s="114">
        <v>811.62</v>
      </c>
      <c r="I768" s="128">
        <f t="shared" si="50"/>
        <v>98.736025109183586</v>
      </c>
    </row>
    <row r="769" spans="1:9" s="175" customFormat="1" ht="31.5" x14ac:dyDescent="0.2">
      <c r="A769" s="106" t="s">
        <v>408</v>
      </c>
      <c r="B769" s="109" t="s">
        <v>409</v>
      </c>
      <c r="C769" s="110"/>
      <c r="D769" s="110"/>
      <c r="E769" s="109"/>
      <c r="F769" s="109"/>
      <c r="G769" s="111">
        <f>G770+G792</f>
        <v>82024.451440000004</v>
      </c>
      <c r="H769" s="111">
        <f>H770+H792</f>
        <v>79684.66102</v>
      </c>
      <c r="I769" s="198">
        <f t="shared" si="50"/>
        <v>97.147447646496559</v>
      </c>
    </row>
    <row r="770" spans="1:9" s="175" customFormat="1" x14ac:dyDescent="0.2">
      <c r="A770" s="103" t="s">
        <v>114</v>
      </c>
      <c r="B770" s="104" t="s">
        <v>409</v>
      </c>
      <c r="C770" s="104" t="s">
        <v>76</v>
      </c>
      <c r="D770" s="104" t="s">
        <v>77</v>
      </c>
      <c r="E770" s="104"/>
      <c r="F770" s="104"/>
      <c r="G770" s="105">
        <f>G771+G787</f>
        <v>17383.851439999999</v>
      </c>
      <c r="H770" s="105">
        <f>H771+H787</f>
        <v>15984.29664</v>
      </c>
      <c r="I770" s="127">
        <f t="shared" si="50"/>
        <v>91.949109753781926</v>
      </c>
    </row>
    <row r="771" spans="1:9" s="175" customFormat="1" ht="24" x14ac:dyDescent="0.2">
      <c r="A771" s="103" t="s">
        <v>308</v>
      </c>
      <c r="B771" s="104" t="s">
        <v>409</v>
      </c>
      <c r="C771" s="104" t="s">
        <v>76</v>
      </c>
      <c r="D771" s="104" t="s">
        <v>295</v>
      </c>
      <c r="E771" s="104"/>
      <c r="F771" s="104"/>
      <c r="G771" s="105">
        <f>G772</f>
        <v>16983.851439999999</v>
      </c>
      <c r="H771" s="105">
        <f>H772</f>
        <v>15984.29664</v>
      </c>
      <c r="I771" s="127">
        <f t="shared" si="50"/>
        <v>94.114675322430884</v>
      </c>
    </row>
    <row r="772" spans="1:9" s="175" customFormat="1" ht="24" x14ac:dyDescent="0.2">
      <c r="A772" s="138" t="s">
        <v>319</v>
      </c>
      <c r="B772" s="118" t="s">
        <v>409</v>
      </c>
      <c r="C772" s="118" t="s">
        <v>76</v>
      </c>
      <c r="D772" s="118" t="s">
        <v>295</v>
      </c>
      <c r="E772" s="118" t="s">
        <v>209</v>
      </c>
      <c r="F772" s="159"/>
      <c r="G772" s="160">
        <f>G773</f>
        <v>16983.851439999999</v>
      </c>
      <c r="H772" s="160">
        <f>H773</f>
        <v>15984.29664</v>
      </c>
      <c r="I772" s="127">
        <f t="shared" si="50"/>
        <v>94.114675322430884</v>
      </c>
    </row>
    <row r="773" spans="1:9" s="175" customFormat="1" ht="13.5" x14ac:dyDescent="0.2">
      <c r="A773" s="120" t="s">
        <v>297</v>
      </c>
      <c r="B773" s="104" t="s">
        <v>409</v>
      </c>
      <c r="C773" s="104" t="s">
        <v>76</v>
      </c>
      <c r="D773" s="104" t="s">
        <v>295</v>
      </c>
      <c r="E773" s="104" t="s">
        <v>210</v>
      </c>
      <c r="F773" s="161"/>
      <c r="G773" s="108">
        <f>G774+G779+G784</f>
        <v>16983.851439999999</v>
      </c>
      <c r="H773" s="108">
        <f>H774+H779+H784</f>
        <v>15984.29664</v>
      </c>
      <c r="I773" s="155">
        <f t="shared" si="50"/>
        <v>94.114675322430884</v>
      </c>
    </row>
    <row r="774" spans="1:9" s="175" customFormat="1" x14ac:dyDescent="0.2">
      <c r="A774" s="120" t="s">
        <v>317</v>
      </c>
      <c r="B774" s="104" t="s">
        <v>409</v>
      </c>
      <c r="C774" s="104" t="s">
        <v>76</v>
      </c>
      <c r="D774" s="104" t="s">
        <v>295</v>
      </c>
      <c r="E774" s="104" t="s">
        <v>211</v>
      </c>
      <c r="F774" s="159"/>
      <c r="G774" s="160">
        <f>G775+G777</f>
        <v>13720</v>
      </c>
      <c r="H774" s="160">
        <f>H775+H777</f>
        <v>13038.02591</v>
      </c>
      <c r="I774" s="127">
        <f t="shared" si="50"/>
        <v>95.029343367346939</v>
      </c>
    </row>
    <row r="775" spans="1:9" s="175" customFormat="1" ht="36" x14ac:dyDescent="0.2">
      <c r="A775" s="112" t="s">
        <v>79</v>
      </c>
      <c r="B775" s="113" t="s">
        <v>409</v>
      </c>
      <c r="C775" s="113" t="s">
        <v>76</v>
      </c>
      <c r="D775" s="113" t="s">
        <v>295</v>
      </c>
      <c r="E775" s="113" t="s">
        <v>211</v>
      </c>
      <c r="F775" s="113" t="s">
        <v>80</v>
      </c>
      <c r="G775" s="114">
        <f>G776</f>
        <v>13666.18554</v>
      </c>
      <c r="H775" s="114">
        <f>H776</f>
        <v>12984.211450000001</v>
      </c>
      <c r="I775" s="128">
        <f t="shared" si="50"/>
        <v>95.009770004922672</v>
      </c>
    </row>
    <row r="776" spans="1:9" s="175" customFormat="1" x14ac:dyDescent="0.2">
      <c r="A776" s="112" t="s">
        <v>81</v>
      </c>
      <c r="B776" s="113" t="s">
        <v>409</v>
      </c>
      <c r="C776" s="113" t="s">
        <v>76</v>
      </c>
      <c r="D776" s="113" t="s">
        <v>295</v>
      </c>
      <c r="E776" s="113" t="s">
        <v>211</v>
      </c>
      <c r="F776" s="113" t="s">
        <v>82</v>
      </c>
      <c r="G776" s="114">
        <f>13720-50-3.81446</f>
        <v>13666.18554</v>
      </c>
      <c r="H776" s="114">
        <v>12984.211450000001</v>
      </c>
      <c r="I776" s="128">
        <f t="shared" si="50"/>
        <v>95.009770004922672</v>
      </c>
    </row>
    <row r="777" spans="1:9" s="175" customFormat="1" x14ac:dyDescent="0.2">
      <c r="A777" s="112" t="s">
        <v>95</v>
      </c>
      <c r="B777" s="113" t="s">
        <v>409</v>
      </c>
      <c r="C777" s="113" t="s">
        <v>76</v>
      </c>
      <c r="D777" s="113" t="s">
        <v>295</v>
      </c>
      <c r="E777" s="113" t="s">
        <v>211</v>
      </c>
      <c r="F777" s="113" t="s">
        <v>94</v>
      </c>
      <c r="G777" s="114">
        <f>G778</f>
        <v>53.814459999999997</v>
      </c>
      <c r="H777" s="114">
        <f>H778</f>
        <v>53.814459999999997</v>
      </c>
      <c r="I777" s="128">
        <f t="shared" si="50"/>
        <v>100</v>
      </c>
    </row>
    <row r="778" spans="1:9" s="175" customFormat="1" x14ac:dyDescent="0.2">
      <c r="A778" s="112" t="s">
        <v>96</v>
      </c>
      <c r="B778" s="113" t="s">
        <v>409</v>
      </c>
      <c r="C778" s="113" t="s">
        <v>76</v>
      </c>
      <c r="D778" s="113" t="s">
        <v>295</v>
      </c>
      <c r="E778" s="113" t="s">
        <v>211</v>
      </c>
      <c r="F778" s="113" t="s">
        <v>97</v>
      </c>
      <c r="G778" s="114">
        <f>50+3.81446</f>
        <v>53.814459999999997</v>
      </c>
      <c r="H778" s="114">
        <v>53.814459999999997</v>
      </c>
      <c r="I778" s="128">
        <f t="shared" si="50"/>
        <v>100</v>
      </c>
    </row>
    <row r="779" spans="1:9" s="175" customFormat="1" x14ac:dyDescent="0.2">
      <c r="A779" s="103" t="s">
        <v>318</v>
      </c>
      <c r="B779" s="104" t="s">
        <v>409</v>
      </c>
      <c r="C779" s="104" t="s">
        <v>76</v>
      </c>
      <c r="D779" s="104" t="s">
        <v>295</v>
      </c>
      <c r="E779" s="104" t="s">
        <v>212</v>
      </c>
      <c r="F779" s="104"/>
      <c r="G779" s="105">
        <f>G780+G782</f>
        <v>2859.6</v>
      </c>
      <c r="H779" s="105">
        <f>H780+H782</f>
        <v>2542.0192900000002</v>
      </c>
      <c r="I779" s="127">
        <f t="shared" si="50"/>
        <v>88.894226115540647</v>
      </c>
    </row>
    <row r="780" spans="1:9" s="175" customFormat="1" x14ac:dyDescent="0.2">
      <c r="A780" s="112" t="s">
        <v>294</v>
      </c>
      <c r="B780" s="113" t="s">
        <v>409</v>
      </c>
      <c r="C780" s="113" t="s">
        <v>76</v>
      </c>
      <c r="D780" s="113" t="s">
        <v>295</v>
      </c>
      <c r="E780" s="113" t="s">
        <v>212</v>
      </c>
      <c r="F780" s="113" t="s">
        <v>84</v>
      </c>
      <c r="G780" s="114">
        <f>G781</f>
        <v>2854.6</v>
      </c>
      <c r="H780" s="114">
        <f>H781</f>
        <v>2542.0192900000002</v>
      </c>
      <c r="I780" s="127">
        <f t="shared" si="50"/>
        <v>89.049929587332727</v>
      </c>
    </row>
    <row r="781" spans="1:9" s="175" customFormat="1" x14ac:dyDescent="0.2">
      <c r="A781" s="112" t="s">
        <v>85</v>
      </c>
      <c r="B781" s="113" t="s">
        <v>409</v>
      </c>
      <c r="C781" s="113" t="s">
        <v>76</v>
      </c>
      <c r="D781" s="113" t="s">
        <v>295</v>
      </c>
      <c r="E781" s="113" t="s">
        <v>212</v>
      </c>
      <c r="F781" s="113" t="s">
        <v>86</v>
      </c>
      <c r="G781" s="114">
        <v>2854.6</v>
      </c>
      <c r="H781" s="114">
        <v>2542.0192900000002</v>
      </c>
      <c r="I781" s="128">
        <f t="shared" si="50"/>
        <v>89.049929587332727</v>
      </c>
    </row>
    <row r="782" spans="1:9" s="175" customFormat="1" x14ac:dyDescent="0.2">
      <c r="A782" s="112" t="s">
        <v>87</v>
      </c>
      <c r="B782" s="113" t="s">
        <v>409</v>
      </c>
      <c r="C782" s="113" t="s">
        <v>76</v>
      </c>
      <c r="D782" s="113" t="s">
        <v>295</v>
      </c>
      <c r="E782" s="113" t="s">
        <v>212</v>
      </c>
      <c r="F782" s="113" t="s">
        <v>88</v>
      </c>
      <c r="G782" s="114">
        <f>G783</f>
        <v>5</v>
      </c>
      <c r="H782" s="128">
        <f>H783</f>
        <v>0</v>
      </c>
      <c r="I782" s="128">
        <f t="shared" si="50"/>
        <v>0</v>
      </c>
    </row>
    <row r="783" spans="1:9" s="175" customFormat="1" x14ac:dyDescent="0.2">
      <c r="A783" s="112" t="s">
        <v>500</v>
      </c>
      <c r="B783" s="113" t="s">
        <v>409</v>
      </c>
      <c r="C783" s="113" t="s">
        <v>76</v>
      </c>
      <c r="D783" s="113" t="s">
        <v>295</v>
      </c>
      <c r="E783" s="113" t="s">
        <v>212</v>
      </c>
      <c r="F783" s="113" t="s">
        <v>89</v>
      </c>
      <c r="G783" s="114">
        <v>5</v>
      </c>
      <c r="H783" s="128">
        <v>0</v>
      </c>
      <c r="I783" s="128">
        <f t="shared" si="50"/>
        <v>0</v>
      </c>
    </row>
    <row r="784" spans="1:9" s="175" customFormat="1" ht="24" x14ac:dyDescent="0.2">
      <c r="A784" s="117" t="s">
        <v>768</v>
      </c>
      <c r="B784" s="118" t="s">
        <v>409</v>
      </c>
      <c r="C784" s="118" t="s">
        <v>76</v>
      </c>
      <c r="D784" s="118" t="s">
        <v>295</v>
      </c>
      <c r="E784" s="118" t="s">
        <v>769</v>
      </c>
      <c r="F784" s="118"/>
      <c r="G784" s="119">
        <f>G785</f>
        <v>404.25144</v>
      </c>
      <c r="H784" s="119">
        <f>H785</f>
        <v>404.25144</v>
      </c>
      <c r="I784" s="119">
        <f t="shared" si="50"/>
        <v>100</v>
      </c>
    </row>
    <row r="785" spans="1:9" s="175" customFormat="1" ht="36" x14ac:dyDescent="0.2">
      <c r="A785" s="112" t="s">
        <v>79</v>
      </c>
      <c r="B785" s="113" t="s">
        <v>409</v>
      </c>
      <c r="C785" s="113" t="s">
        <v>76</v>
      </c>
      <c r="D785" s="113" t="s">
        <v>295</v>
      </c>
      <c r="E785" s="113" t="s">
        <v>769</v>
      </c>
      <c r="F785" s="113" t="s">
        <v>80</v>
      </c>
      <c r="G785" s="114">
        <f>G786</f>
        <v>404.25144</v>
      </c>
      <c r="H785" s="114">
        <f>H786</f>
        <v>404.25144</v>
      </c>
      <c r="I785" s="114">
        <f t="shared" si="50"/>
        <v>100</v>
      </c>
    </row>
    <row r="786" spans="1:9" s="175" customFormat="1" x14ac:dyDescent="0.2">
      <c r="A786" s="112" t="s">
        <v>81</v>
      </c>
      <c r="B786" s="113" t="s">
        <v>409</v>
      </c>
      <c r="C786" s="113" t="s">
        <v>76</v>
      </c>
      <c r="D786" s="113" t="s">
        <v>416</v>
      </c>
      <c r="E786" s="113" t="s">
        <v>769</v>
      </c>
      <c r="F786" s="113" t="s">
        <v>82</v>
      </c>
      <c r="G786" s="114">
        <v>404.25144</v>
      </c>
      <c r="H786" s="114">
        <v>404.25144</v>
      </c>
      <c r="I786" s="114">
        <f t="shared" si="50"/>
        <v>100</v>
      </c>
    </row>
    <row r="787" spans="1:9" s="175" customFormat="1" x14ac:dyDescent="0.2">
      <c r="A787" s="103" t="s">
        <v>311</v>
      </c>
      <c r="B787" s="104" t="s">
        <v>409</v>
      </c>
      <c r="C787" s="104" t="s">
        <v>76</v>
      </c>
      <c r="D787" s="104" t="s">
        <v>93</v>
      </c>
      <c r="E787" s="104"/>
      <c r="F787" s="104"/>
      <c r="G787" s="105">
        <f t="shared" ref="G787:H790" si="53">G788</f>
        <v>400</v>
      </c>
      <c r="H787" s="127">
        <f t="shared" si="53"/>
        <v>0</v>
      </c>
      <c r="I787" s="127">
        <f t="shared" ref="I787:I850" si="54">H787/G787*100</f>
        <v>0</v>
      </c>
    </row>
    <row r="788" spans="1:9" s="175" customFormat="1" x14ac:dyDescent="0.2">
      <c r="A788" s="103" t="s">
        <v>297</v>
      </c>
      <c r="B788" s="104" t="s">
        <v>409</v>
      </c>
      <c r="C788" s="104" t="s">
        <v>76</v>
      </c>
      <c r="D788" s="104" t="s">
        <v>93</v>
      </c>
      <c r="E788" s="135" t="s">
        <v>210</v>
      </c>
      <c r="F788" s="104"/>
      <c r="G788" s="105">
        <f t="shared" si="53"/>
        <v>400</v>
      </c>
      <c r="H788" s="127">
        <f t="shared" si="53"/>
        <v>0</v>
      </c>
      <c r="I788" s="127">
        <f t="shared" si="54"/>
        <v>0</v>
      </c>
    </row>
    <row r="789" spans="1:9" s="175" customFormat="1" x14ac:dyDescent="0.2">
      <c r="A789" s="117" t="s">
        <v>312</v>
      </c>
      <c r="B789" s="118" t="s">
        <v>409</v>
      </c>
      <c r="C789" s="118" t="s">
        <v>76</v>
      </c>
      <c r="D789" s="118" t="s">
        <v>93</v>
      </c>
      <c r="E789" s="122" t="s">
        <v>337</v>
      </c>
      <c r="F789" s="118"/>
      <c r="G789" s="119">
        <f t="shared" si="53"/>
        <v>400</v>
      </c>
      <c r="H789" s="129">
        <f t="shared" si="53"/>
        <v>0</v>
      </c>
      <c r="I789" s="129">
        <f t="shared" si="54"/>
        <v>0</v>
      </c>
    </row>
    <row r="790" spans="1:9" s="175" customFormat="1" x14ac:dyDescent="0.2">
      <c r="A790" s="112" t="s">
        <v>87</v>
      </c>
      <c r="B790" s="113" t="s">
        <v>409</v>
      </c>
      <c r="C790" s="113" t="s">
        <v>76</v>
      </c>
      <c r="D790" s="113" t="s">
        <v>93</v>
      </c>
      <c r="E790" s="123" t="s">
        <v>337</v>
      </c>
      <c r="F790" s="113" t="s">
        <v>88</v>
      </c>
      <c r="G790" s="114">
        <f t="shared" si="53"/>
        <v>400</v>
      </c>
      <c r="H790" s="128">
        <f t="shared" si="53"/>
        <v>0</v>
      </c>
      <c r="I790" s="128">
        <f t="shared" si="54"/>
        <v>0</v>
      </c>
    </row>
    <row r="791" spans="1:9" s="175" customFormat="1" x14ac:dyDescent="0.2">
      <c r="A791" s="112" t="s">
        <v>149</v>
      </c>
      <c r="B791" s="113" t="s">
        <v>409</v>
      </c>
      <c r="C791" s="113" t="s">
        <v>76</v>
      </c>
      <c r="D791" s="113" t="s">
        <v>93</v>
      </c>
      <c r="E791" s="123" t="s">
        <v>337</v>
      </c>
      <c r="F791" s="113" t="s">
        <v>153</v>
      </c>
      <c r="G791" s="114">
        <f>1000-500-100</f>
        <v>400</v>
      </c>
      <c r="H791" s="128">
        <v>0</v>
      </c>
      <c r="I791" s="128">
        <f t="shared" si="54"/>
        <v>0</v>
      </c>
    </row>
    <row r="792" spans="1:9" s="175" customFormat="1" x14ac:dyDescent="0.2">
      <c r="A792" s="103" t="s">
        <v>383</v>
      </c>
      <c r="B792" s="104" t="s">
        <v>409</v>
      </c>
      <c r="C792" s="104" t="s">
        <v>93</v>
      </c>
      <c r="D792" s="104" t="s">
        <v>77</v>
      </c>
      <c r="E792" s="104"/>
      <c r="F792" s="104"/>
      <c r="G792" s="105">
        <f t="shared" ref="G792:H796" si="55">G793</f>
        <v>64640.600000000006</v>
      </c>
      <c r="H792" s="105">
        <f t="shared" si="55"/>
        <v>63700.364379999999</v>
      </c>
      <c r="I792" s="127">
        <f t="shared" si="54"/>
        <v>98.545441069544509</v>
      </c>
    </row>
    <row r="793" spans="1:9" s="200" customFormat="1" x14ac:dyDescent="0.2">
      <c r="A793" s="103" t="s">
        <v>297</v>
      </c>
      <c r="B793" s="104" t="s">
        <v>409</v>
      </c>
      <c r="C793" s="104" t="s">
        <v>93</v>
      </c>
      <c r="D793" s="104" t="s">
        <v>76</v>
      </c>
      <c r="E793" s="135" t="s">
        <v>210</v>
      </c>
      <c r="F793" s="104"/>
      <c r="G793" s="105">
        <f t="shared" si="55"/>
        <v>64640.600000000006</v>
      </c>
      <c r="H793" s="105">
        <f t="shared" si="55"/>
        <v>63700.364379999999</v>
      </c>
      <c r="I793" s="127">
        <f t="shared" si="54"/>
        <v>98.545441069544509</v>
      </c>
    </row>
    <row r="794" spans="1:9" s="175" customFormat="1" ht="15.75" x14ac:dyDescent="0.2">
      <c r="A794" s="103" t="s">
        <v>412</v>
      </c>
      <c r="B794" s="104" t="s">
        <v>409</v>
      </c>
      <c r="C794" s="104" t="s">
        <v>93</v>
      </c>
      <c r="D794" s="104" t="s">
        <v>76</v>
      </c>
      <c r="E794" s="104" t="s">
        <v>652</v>
      </c>
      <c r="F794" s="110"/>
      <c r="G794" s="105">
        <f t="shared" si="55"/>
        <v>64640.600000000006</v>
      </c>
      <c r="H794" s="105">
        <f t="shared" si="55"/>
        <v>63700.364379999999</v>
      </c>
      <c r="I794" s="127">
        <f t="shared" si="54"/>
        <v>98.545441069544509</v>
      </c>
    </row>
    <row r="795" spans="1:9" s="175" customFormat="1" x14ac:dyDescent="0.2">
      <c r="A795" s="136" t="s">
        <v>309</v>
      </c>
      <c r="B795" s="132" t="s">
        <v>409</v>
      </c>
      <c r="C795" s="132" t="s">
        <v>93</v>
      </c>
      <c r="D795" s="132" t="s">
        <v>76</v>
      </c>
      <c r="E795" s="153" t="s">
        <v>652</v>
      </c>
      <c r="F795" s="132"/>
      <c r="G795" s="137">
        <f t="shared" si="55"/>
        <v>64640.600000000006</v>
      </c>
      <c r="H795" s="137">
        <f t="shared" si="55"/>
        <v>63700.364379999999</v>
      </c>
      <c r="I795" s="204">
        <f t="shared" si="54"/>
        <v>98.545441069544509</v>
      </c>
    </row>
    <row r="796" spans="1:9" s="175" customFormat="1" x14ac:dyDescent="0.2">
      <c r="A796" s="112" t="s">
        <v>298</v>
      </c>
      <c r="B796" s="113" t="s">
        <v>409</v>
      </c>
      <c r="C796" s="113" t="s">
        <v>93</v>
      </c>
      <c r="D796" s="113" t="s">
        <v>76</v>
      </c>
      <c r="E796" s="113" t="s">
        <v>652</v>
      </c>
      <c r="F796" s="113" t="s">
        <v>299</v>
      </c>
      <c r="G796" s="114">
        <f t="shared" si="55"/>
        <v>64640.600000000006</v>
      </c>
      <c r="H796" s="114">
        <f t="shared" si="55"/>
        <v>63700.364379999999</v>
      </c>
      <c r="I796" s="128">
        <f t="shared" si="54"/>
        <v>98.545441069544509</v>
      </c>
    </row>
    <row r="797" spans="1:9" s="175" customFormat="1" x14ac:dyDescent="0.2">
      <c r="A797" s="112" t="s">
        <v>300</v>
      </c>
      <c r="B797" s="113" t="s">
        <v>409</v>
      </c>
      <c r="C797" s="113" t="s">
        <v>93</v>
      </c>
      <c r="D797" s="113" t="s">
        <v>76</v>
      </c>
      <c r="E797" s="113" t="s">
        <v>652</v>
      </c>
      <c r="F797" s="113" t="s">
        <v>397</v>
      </c>
      <c r="G797" s="114">
        <f>115000-1859.4-1921.708-46578.292</f>
        <v>64640.600000000006</v>
      </c>
      <c r="H797" s="114">
        <v>63700.364379999999</v>
      </c>
      <c r="I797" s="128">
        <f t="shared" si="54"/>
        <v>98.545441069544509</v>
      </c>
    </row>
    <row r="798" spans="1:9" s="175" customFormat="1" ht="31.5" x14ac:dyDescent="0.2">
      <c r="A798" s="106" t="s">
        <v>71</v>
      </c>
      <c r="B798" s="109" t="s">
        <v>410</v>
      </c>
      <c r="C798" s="109"/>
      <c r="D798" s="109"/>
      <c r="E798" s="109"/>
      <c r="F798" s="109"/>
      <c r="G798" s="111">
        <f>G799+G820</f>
        <v>15443.95672</v>
      </c>
      <c r="H798" s="111">
        <f>H799+H820</f>
        <v>13700.32466</v>
      </c>
      <c r="I798" s="198">
        <f t="shared" si="54"/>
        <v>88.70993948239969</v>
      </c>
    </row>
    <row r="799" spans="1:9" s="175" customFormat="1" x14ac:dyDescent="0.2">
      <c r="A799" s="103" t="s">
        <v>114</v>
      </c>
      <c r="B799" s="104" t="s">
        <v>410</v>
      </c>
      <c r="C799" s="104" t="s">
        <v>76</v>
      </c>
      <c r="D799" s="104" t="s">
        <v>77</v>
      </c>
      <c r="E799" s="104"/>
      <c r="F799" s="104"/>
      <c r="G799" s="105">
        <f>G800+G814</f>
        <v>14483.95672</v>
      </c>
      <c r="H799" s="105">
        <f>H800+H814</f>
        <v>13597.19966</v>
      </c>
      <c r="I799" s="127">
        <f t="shared" si="54"/>
        <v>93.877660109440043</v>
      </c>
    </row>
    <row r="800" spans="1:9" s="175" customFormat="1" ht="36" x14ac:dyDescent="0.2">
      <c r="A800" s="103" t="s">
        <v>305</v>
      </c>
      <c r="B800" s="104" t="s">
        <v>410</v>
      </c>
      <c r="C800" s="104" t="s">
        <v>76</v>
      </c>
      <c r="D800" s="104" t="s">
        <v>78</v>
      </c>
      <c r="E800" s="104"/>
      <c r="F800" s="104"/>
      <c r="G800" s="105">
        <f>G801</f>
        <v>13483.95672</v>
      </c>
      <c r="H800" s="105">
        <f>H801</f>
        <v>13142.383</v>
      </c>
      <c r="I800" s="127">
        <f t="shared" si="54"/>
        <v>97.466813880429001</v>
      </c>
    </row>
    <row r="801" spans="1:9" s="175" customFormat="1" x14ac:dyDescent="0.2">
      <c r="A801" s="138" t="s">
        <v>74</v>
      </c>
      <c r="B801" s="118" t="s">
        <v>410</v>
      </c>
      <c r="C801" s="118" t="s">
        <v>76</v>
      </c>
      <c r="D801" s="118" t="s">
        <v>78</v>
      </c>
      <c r="E801" s="118" t="s">
        <v>209</v>
      </c>
      <c r="F801" s="118"/>
      <c r="G801" s="119">
        <f>G802</f>
        <v>13483.95672</v>
      </c>
      <c r="H801" s="119">
        <f>H802</f>
        <v>13142.383</v>
      </c>
      <c r="I801" s="129">
        <f t="shared" si="54"/>
        <v>97.466813880429001</v>
      </c>
    </row>
    <row r="802" spans="1:9" s="175" customFormat="1" x14ac:dyDescent="0.2">
      <c r="A802" s="120" t="s">
        <v>297</v>
      </c>
      <c r="B802" s="104" t="s">
        <v>410</v>
      </c>
      <c r="C802" s="104" t="s">
        <v>76</v>
      </c>
      <c r="D802" s="104" t="s">
        <v>78</v>
      </c>
      <c r="E802" s="104" t="s">
        <v>210</v>
      </c>
      <c r="F802" s="104"/>
      <c r="G802" s="105">
        <f>G803+G806+G811</f>
        <v>13483.95672</v>
      </c>
      <c r="H802" s="105">
        <f>H803+H806+H811</f>
        <v>13142.383</v>
      </c>
      <c r="I802" s="127">
        <f t="shared" si="54"/>
        <v>97.466813880429001</v>
      </c>
    </row>
    <row r="803" spans="1:9" s="175" customFormat="1" x14ac:dyDescent="0.2">
      <c r="A803" s="120" t="s">
        <v>296</v>
      </c>
      <c r="B803" s="104" t="s">
        <v>410</v>
      </c>
      <c r="C803" s="104" t="s">
        <v>76</v>
      </c>
      <c r="D803" s="104" t="s">
        <v>78</v>
      </c>
      <c r="E803" s="104" t="s">
        <v>211</v>
      </c>
      <c r="F803" s="104"/>
      <c r="G803" s="105">
        <f>G804</f>
        <v>12500</v>
      </c>
      <c r="H803" s="105">
        <f>H804</f>
        <v>12159.42928</v>
      </c>
      <c r="I803" s="127">
        <f t="shared" si="54"/>
        <v>97.27543424000001</v>
      </c>
    </row>
    <row r="804" spans="1:9" s="175" customFormat="1" ht="36" x14ac:dyDescent="0.2">
      <c r="A804" s="112" t="s">
        <v>79</v>
      </c>
      <c r="B804" s="113" t="s">
        <v>410</v>
      </c>
      <c r="C804" s="113" t="s">
        <v>76</v>
      </c>
      <c r="D804" s="113" t="s">
        <v>78</v>
      </c>
      <c r="E804" s="113" t="s">
        <v>211</v>
      </c>
      <c r="F804" s="113" t="s">
        <v>80</v>
      </c>
      <c r="G804" s="114">
        <f>G805</f>
        <v>12500</v>
      </c>
      <c r="H804" s="114">
        <f>H805</f>
        <v>12159.42928</v>
      </c>
      <c r="I804" s="128">
        <f t="shared" si="54"/>
        <v>97.27543424000001</v>
      </c>
    </row>
    <row r="805" spans="1:9" s="175" customFormat="1" x14ac:dyDescent="0.2">
      <c r="A805" s="112" t="s">
        <v>81</v>
      </c>
      <c r="B805" s="113" t="s">
        <v>410</v>
      </c>
      <c r="C805" s="113" t="s">
        <v>76</v>
      </c>
      <c r="D805" s="113" t="s">
        <v>78</v>
      </c>
      <c r="E805" s="113" t="s">
        <v>211</v>
      </c>
      <c r="F805" s="113" t="s">
        <v>82</v>
      </c>
      <c r="G805" s="114">
        <f>9600+2900</f>
        <v>12500</v>
      </c>
      <c r="H805" s="114">
        <v>12159.42928</v>
      </c>
      <c r="I805" s="128">
        <f t="shared" si="54"/>
        <v>97.27543424000001</v>
      </c>
    </row>
    <row r="806" spans="1:9" s="175" customFormat="1" x14ac:dyDescent="0.2">
      <c r="A806" s="103" t="s">
        <v>83</v>
      </c>
      <c r="B806" s="104" t="s">
        <v>410</v>
      </c>
      <c r="C806" s="104" t="s">
        <v>76</v>
      </c>
      <c r="D806" s="104" t="s">
        <v>78</v>
      </c>
      <c r="E806" s="104" t="s">
        <v>212</v>
      </c>
      <c r="F806" s="104"/>
      <c r="G806" s="105">
        <f>G807+G809</f>
        <v>494</v>
      </c>
      <c r="H806" s="105">
        <f>H807+H809</f>
        <v>492.99700000000001</v>
      </c>
      <c r="I806" s="127">
        <f t="shared" si="54"/>
        <v>99.796963562753035</v>
      </c>
    </row>
    <row r="807" spans="1:9" s="175" customFormat="1" x14ac:dyDescent="0.2">
      <c r="A807" s="112" t="s">
        <v>294</v>
      </c>
      <c r="B807" s="113" t="s">
        <v>410</v>
      </c>
      <c r="C807" s="113" t="s">
        <v>76</v>
      </c>
      <c r="D807" s="113" t="s">
        <v>78</v>
      </c>
      <c r="E807" s="113" t="s">
        <v>212</v>
      </c>
      <c r="F807" s="113" t="s">
        <v>84</v>
      </c>
      <c r="G807" s="114">
        <f>G808</f>
        <v>453</v>
      </c>
      <c r="H807" s="114">
        <f>H808</f>
        <v>452.99700000000001</v>
      </c>
      <c r="I807" s="128">
        <f t="shared" si="54"/>
        <v>99.999337748344374</v>
      </c>
    </row>
    <row r="808" spans="1:9" s="175" customFormat="1" x14ac:dyDescent="0.2">
      <c r="A808" s="112" t="s">
        <v>85</v>
      </c>
      <c r="B808" s="113" t="s">
        <v>410</v>
      </c>
      <c r="C808" s="113" t="s">
        <v>76</v>
      </c>
      <c r="D808" s="113" t="s">
        <v>78</v>
      </c>
      <c r="E808" s="113" t="s">
        <v>212</v>
      </c>
      <c r="F808" s="113" t="s">
        <v>86</v>
      </c>
      <c r="G808" s="114">
        <f>100+70+83+200</f>
        <v>453</v>
      </c>
      <c r="H808" s="114">
        <v>452.99700000000001</v>
      </c>
      <c r="I808" s="128">
        <f t="shared" si="54"/>
        <v>99.999337748344374</v>
      </c>
    </row>
    <row r="809" spans="1:9" s="175" customFormat="1" x14ac:dyDescent="0.2">
      <c r="A809" s="112" t="s">
        <v>87</v>
      </c>
      <c r="B809" s="113" t="s">
        <v>410</v>
      </c>
      <c r="C809" s="113" t="s">
        <v>76</v>
      </c>
      <c r="D809" s="113" t="s">
        <v>78</v>
      </c>
      <c r="E809" s="113" t="s">
        <v>212</v>
      </c>
      <c r="F809" s="113" t="s">
        <v>88</v>
      </c>
      <c r="G809" s="114">
        <f>G810</f>
        <v>41</v>
      </c>
      <c r="H809" s="114">
        <f>H810</f>
        <v>40</v>
      </c>
      <c r="I809" s="128">
        <f t="shared" si="54"/>
        <v>97.560975609756099</v>
      </c>
    </row>
    <row r="810" spans="1:9" s="175" customFormat="1" x14ac:dyDescent="0.2">
      <c r="A810" s="112" t="s">
        <v>500</v>
      </c>
      <c r="B810" s="113" t="s">
        <v>410</v>
      </c>
      <c r="C810" s="113" t="s">
        <v>76</v>
      </c>
      <c r="D810" s="113" t="s">
        <v>78</v>
      </c>
      <c r="E810" s="113" t="s">
        <v>212</v>
      </c>
      <c r="F810" s="113" t="s">
        <v>89</v>
      </c>
      <c r="G810" s="114">
        <f>1+40</f>
        <v>41</v>
      </c>
      <c r="H810" s="114">
        <v>40</v>
      </c>
      <c r="I810" s="128">
        <f t="shared" si="54"/>
        <v>97.560975609756099</v>
      </c>
    </row>
    <row r="811" spans="1:9" s="175" customFormat="1" ht="24" x14ac:dyDescent="0.2">
      <c r="A811" s="117" t="s">
        <v>768</v>
      </c>
      <c r="B811" s="118" t="s">
        <v>410</v>
      </c>
      <c r="C811" s="118" t="s">
        <v>76</v>
      </c>
      <c r="D811" s="118" t="s">
        <v>78</v>
      </c>
      <c r="E811" s="118" t="s">
        <v>769</v>
      </c>
      <c r="F811" s="118"/>
      <c r="G811" s="119">
        <f>G812</f>
        <v>489.95672000000002</v>
      </c>
      <c r="H811" s="119">
        <f>H812</f>
        <v>489.95672000000002</v>
      </c>
      <c r="I811" s="119">
        <f t="shared" si="54"/>
        <v>100</v>
      </c>
    </row>
    <row r="812" spans="1:9" s="175" customFormat="1" ht="36" x14ac:dyDescent="0.2">
      <c r="A812" s="112" t="s">
        <v>79</v>
      </c>
      <c r="B812" s="113" t="s">
        <v>410</v>
      </c>
      <c r="C812" s="113" t="s">
        <v>76</v>
      </c>
      <c r="D812" s="113" t="s">
        <v>78</v>
      </c>
      <c r="E812" s="113" t="s">
        <v>769</v>
      </c>
      <c r="F812" s="113" t="s">
        <v>80</v>
      </c>
      <c r="G812" s="114">
        <f>G813</f>
        <v>489.95672000000002</v>
      </c>
      <c r="H812" s="114">
        <f>H813</f>
        <v>489.95672000000002</v>
      </c>
      <c r="I812" s="114">
        <f t="shared" si="54"/>
        <v>100</v>
      </c>
    </row>
    <row r="813" spans="1:9" s="175" customFormat="1" x14ac:dyDescent="0.2">
      <c r="A813" s="112" t="s">
        <v>81</v>
      </c>
      <c r="B813" s="113" t="s">
        <v>410</v>
      </c>
      <c r="C813" s="113" t="s">
        <v>76</v>
      </c>
      <c r="D813" s="113" t="s">
        <v>78</v>
      </c>
      <c r="E813" s="113" t="s">
        <v>769</v>
      </c>
      <c r="F813" s="113" t="s">
        <v>82</v>
      </c>
      <c r="G813" s="114">
        <v>489.95672000000002</v>
      </c>
      <c r="H813" s="114">
        <v>489.95672000000002</v>
      </c>
      <c r="I813" s="114">
        <f t="shared" si="54"/>
        <v>100</v>
      </c>
    </row>
    <row r="814" spans="1:9" s="175" customFormat="1" x14ac:dyDescent="0.2">
      <c r="A814" s="103" t="s">
        <v>311</v>
      </c>
      <c r="B814" s="104" t="s">
        <v>410</v>
      </c>
      <c r="C814" s="104" t="s">
        <v>76</v>
      </c>
      <c r="D814" s="104" t="s">
        <v>93</v>
      </c>
      <c r="E814" s="113"/>
      <c r="F814" s="104"/>
      <c r="G814" s="105">
        <f t="shared" ref="G814:H818" si="56">G815</f>
        <v>1000</v>
      </c>
      <c r="H814" s="105">
        <f t="shared" si="56"/>
        <v>454.81666000000001</v>
      </c>
      <c r="I814" s="127">
        <f t="shared" si="54"/>
        <v>45.481666000000004</v>
      </c>
    </row>
    <row r="815" spans="1:9" s="175" customFormat="1" x14ac:dyDescent="0.2">
      <c r="A815" s="138" t="s">
        <v>74</v>
      </c>
      <c r="B815" s="118" t="s">
        <v>410</v>
      </c>
      <c r="C815" s="118" t="s">
        <v>76</v>
      </c>
      <c r="D815" s="118" t="s">
        <v>93</v>
      </c>
      <c r="E815" s="118" t="s">
        <v>209</v>
      </c>
      <c r="F815" s="118"/>
      <c r="G815" s="119">
        <f t="shared" si="56"/>
        <v>1000</v>
      </c>
      <c r="H815" s="119">
        <f t="shared" si="56"/>
        <v>454.81666000000001</v>
      </c>
      <c r="I815" s="129">
        <f t="shared" si="54"/>
        <v>45.481666000000004</v>
      </c>
    </row>
    <row r="816" spans="1:9" s="175" customFormat="1" x14ac:dyDescent="0.2">
      <c r="A816" s="103" t="s">
        <v>297</v>
      </c>
      <c r="B816" s="104" t="s">
        <v>410</v>
      </c>
      <c r="C816" s="104" t="s">
        <v>76</v>
      </c>
      <c r="D816" s="104" t="s">
        <v>93</v>
      </c>
      <c r="E816" s="104" t="s">
        <v>210</v>
      </c>
      <c r="F816" s="162"/>
      <c r="G816" s="105">
        <f t="shared" si="56"/>
        <v>1000</v>
      </c>
      <c r="H816" s="105">
        <f t="shared" si="56"/>
        <v>454.81666000000001</v>
      </c>
      <c r="I816" s="127">
        <f t="shared" si="54"/>
        <v>45.481666000000004</v>
      </c>
    </row>
    <row r="817" spans="1:9" s="200" customFormat="1" ht="24" x14ac:dyDescent="0.2">
      <c r="A817" s="117" t="s">
        <v>301</v>
      </c>
      <c r="B817" s="118" t="s">
        <v>410</v>
      </c>
      <c r="C817" s="118" t="s">
        <v>76</v>
      </c>
      <c r="D817" s="118" t="s">
        <v>93</v>
      </c>
      <c r="E817" s="118" t="s">
        <v>653</v>
      </c>
      <c r="F817" s="144"/>
      <c r="G817" s="119">
        <f t="shared" si="56"/>
        <v>1000</v>
      </c>
      <c r="H817" s="119">
        <f t="shared" si="56"/>
        <v>454.81666000000001</v>
      </c>
      <c r="I817" s="129">
        <f t="shared" si="54"/>
        <v>45.481666000000004</v>
      </c>
    </row>
    <row r="818" spans="1:9" s="175" customFormat="1" x14ac:dyDescent="0.2">
      <c r="A818" s="112" t="s">
        <v>294</v>
      </c>
      <c r="B818" s="113" t="s">
        <v>410</v>
      </c>
      <c r="C818" s="113" t="s">
        <v>76</v>
      </c>
      <c r="D818" s="113" t="s">
        <v>93</v>
      </c>
      <c r="E818" s="113" t="s">
        <v>653</v>
      </c>
      <c r="F818" s="130">
        <v>200</v>
      </c>
      <c r="G818" s="114">
        <f t="shared" si="56"/>
        <v>1000</v>
      </c>
      <c r="H818" s="114">
        <f t="shared" si="56"/>
        <v>454.81666000000001</v>
      </c>
      <c r="I818" s="128">
        <f t="shared" si="54"/>
        <v>45.481666000000004</v>
      </c>
    </row>
    <row r="819" spans="1:9" s="175" customFormat="1" x14ac:dyDescent="0.2">
      <c r="A819" s="112" t="s">
        <v>85</v>
      </c>
      <c r="B819" s="130">
        <v>611</v>
      </c>
      <c r="C819" s="113" t="s">
        <v>76</v>
      </c>
      <c r="D819" s="113" t="s">
        <v>93</v>
      </c>
      <c r="E819" s="113" t="s">
        <v>653</v>
      </c>
      <c r="F819" s="113" t="s">
        <v>86</v>
      </c>
      <c r="G819" s="114">
        <v>1000</v>
      </c>
      <c r="H819" s="114">
        <v>454.81666000000001</v>
      </c>
      <c r="I819" s="128">
        <f t="shared" si="54"/>
        <v>45.481666000000004</v>
      </c>
    </row>
    <row r="820" spans="1:9" s="175" customFormat="1" x14ac:dyDescent="0.2">
      <c r="A820" s="103" t="s">
        <v>353</v>
      </c>
      <c r="B820" s="104" t="s">
        <v>410</v>
      </c>
      <c r="C820" s="104" t="s">
        <v>78</v>
      </c>
      <c r="D820" s="104" t="s">
        <v>77</v>
      </c>
      <c r="E820" s="104"/>
      <c r="F820" s="104"/>
      <c r="G820" s="105">
        <f t="shared" ref="G820:H825" si="57">G821</f>
        <v>960</v>
      </c>
      <c r="H820" s="105">
        <f t="shared" si="57"/>
        <v>103.125</v>
      </c>
      <c r="I820" s="127">
        <f t="shared" si="54"/>
        <v>10.7421875</v>
      </c>
    </row>
    <row r="821" spans="1:9" s="175" customFormat="1" x14ac:dyDescent="0.2">
      <c r="A821" s="103" t="s">
        <v>388</v>
      </c>
      <c r="B821" s="104" t="s">
        <v>410</v>
      </c>
      <c r="C821" s="104" t="s">
        <v>78</v>
      </c>
      <c r="D821" s="104" t="s">
        <v>475</v>
      </c>
      <c r="E821" s="118"/>
      <c r="F821" s="118"/>
      <c r="G821" s="105">
        <f t="shared" si="57"/>
        <v>960</v>
      </c>
      <c r="H821" s="105">
        <f t="shared" si="57"/>
        <v>103.125</v>
      </c>
      <c r="I821" s="127">
        <f t="shared" si="54"/>
        <v>10.7421875</v>
      </c>
    </row>
    <row r="822" spans="1:9" s="175" customFormat="1" x14ac:dyDescent="0.2">
      <c r="A822" s="138" t="s">
        <v>74</v>
      </c>
      <c r="B822" s="118" t="s">
        <v>410</v>
      </c>
      <c r="C822" s="118" t="s">
        <v>78</v>
      </c>
      <c r="D822" s="118" t="s">
        <v>475</v>
      </c>
      <c r="E822" s="118" t="s">
        <v>209</v>
      </c>
      <c r="F822" s="118"/>
      <c r="G822" s="119">
        <f t="shared" si="57"/>
        <v>960</v>
      </c>
      <c r="H822" s="119">
        <f t="shared" si="57"/>
        <v>103.125</v>
      </c>
      <c r="I822" s="129">
        <f t="shared" si="54"/>
        <v>10.7421875</v>
      </c>
    </row>
    <row r="823" spans="1:9" s="175" customFormat="1" x14ac:dyDescent="0.2">
      <c r="A823" s="103" t="s">
        <v>297</v>
      </c>
      <c r="B823" s="143">
        <v>611</v>
      </c>
      <c r="C823" s="104" t="s">
        <v>78</v>
      </c>
      <c r="D823" s="104" t="s">
        <v>475</v>
      </c>
      <c r="E823" s="104" t="s">
        <v>210</v>
      </c>
      <c r="F823" s="104"/>
      <c r="G823" s="105">
        <f t="shared" si="57"/>
        <v>960</v>
      </c>
      <c r="H823" s="105">
        <f t="shared" si="57"/>
        <v>103.125</v>
      </c>
      <c r="I823" s="127">
        <f t="shared" si="54"/>
        <v>10.7421875</v>
      </c>
    </row>
    <row r="824" spans="1:9" s="175" customFormat="1" x14ac:dyDescent="0.2">
      <c r="A824" s="136" t="s">
        <v>341</v>
      </c>
      <c r="B824" s="163">
        <v>611</v>
      </c>
      <c r="C824" s="132" t="s">
        <v>78</v>
      </c>
      <c r="D824" s="132" t="s">
        <v>475</v>
      </c>
      <c r="E824" s="132" t="s">
        <v>654</v>
      </c>
      <c r="F824" s="132"/>
      <c r="G824" s="137">
        <f t="shared" si="57"/>
        <v>960</v>
      </c>
      <c r="H824" s="137">
        <f t="shared" si="57"/>
        <v>103.125</v>
      </c>
      <c r="I824" s="204">
        <f t="shared" si="54"/>
        <v>10.7421875</v>
      </c>
    </row>
    <row r="825" spans="1:9" s="175" customFormat="1" x14ac:dyDescent="0.2">
      <c r="A825" s="112" t="s">
        <v>294</v>
      </c>
      <c r="B825" s="113" t="s">
        <v>410</v>
      </c>
      <c r="C825" s="113" t="s">
        <v>78</v>
      </c>
      <c r="D825" s="113" t="s">
        <v>475</v>
      </c>
      <c r="E825" s="113" t="s">
        <v>654</v>
      </c>
      <c r="F825" s="130">
        <v>200</v>
      </c>
      <c r="G825" s="114">
        <f t="shared" si="57"/>
        <v>960</v>
      </c>
      <c r="H825" s="114">
        <f t="shared" si="57"/>
        <v>103.125</v>
      </c>
      <c r="I825" s="128">
        <f t="shared" si="54"/>
        <v>10.7421875</v>
      </c>
    </row>
    <row r="826" spans="1:9" s="175" customFormat="1" x14ac:dyDescent="0.2">
      <c r="A826" s="112" t="s">
        <v>85</v>
      </c>
      <c r="B826" s="130">
        <v>611</v>
      </c>
      <c r="C826" s="113" t="s">
        <v>78</v>
      </c>
      <c r="D826" s="113" t="s">
        <v>475</v>
      </c>
      <c r="E826" s="113" t="s">
        <v>654</v>
      </c>
      <c r="F826" s="113" t="s">
        <v>86</v>
      </c>
      <c r="G826" s="114">
        <f>1000-40</f>
        <v>960</v>
      </c>
      <c r="H826" s="114">
        <v>103.125</v>
      </c>
      <c r="I826" s="128">
        <f t="shared" si="54"/>
        <v>10.7421875</v>
      </c>
    </row>
    <row r="827" spans="1:9" s="175" customFormat="1" ht="15.75" x14ac:dyDescent="0.2">
      <c r="A827" s="106" t="s">
        <v>293</v>
      </c>
      <c r="B827" s="109" t="s">
        <v>135</v>
      </c>
      <c r="C827" s="109"/>
      <c r="D827" s="109"/>
      <c r="E827" s="109"/>
      <c r="F827" s="109"/>
      <c r="G827" s="111">
        <f>G828+G922</f>
        <v>2786835.2689699996</v>
      </c>
      <c r="H827" s="111">
        <f>H828+H922</f>
        <v>2710545.0588700003</v>
      </c>
      <c r="I827" s="198">
        <f t="shared" si="54"/>
        <v>97.262478663541685</v>
      </c>
    </row>
    <row r="828" spans="1:9" s="175" customFormat="1" x14ac:dyDescent="0.2">
      <c r="A828" s="103" t="s">
        <v>364</v>
      </c>
      <c r="B828" s="104" t="s">
        <v>135</v>
      </c>
      <c r="C828" s="104" t="s">
        <v>476</v>
      </c>
      <c r="D828" s="104" t="s">
        <v>77</v>
      </c>
      <c r="E828" s="104"/>
      <c r="F828" s="104"/>
      <c r="G828" s="105">
        <f>G829+G843+G867+G880+G874</f>
        <v>2774863.0989699997</v>
      </c>
      <c r="H828" s="105">
        <f>H829+H843+H867+H880+H874</f>
        <v>2698621.3049600003</v>
      </c>
      <c r="I828" s="127">
        <f t="shared" si="54"/>
        <v>97.252412414929594</v>
      </c>
    </row>
    <row r="829" spans="1:9" s="175" customFormat="1" x14ac:dyDescent="0.2">
      <c r="A829" s="103" t="s">
        <v>365</v>
      </c>
      <c r="B829" s="104" t="s">
        <v>135</v>
      </c>
      <c r="C829" s="104" t="s">
        <v>476</v>
      </c>
      <c r="D829" s="104" t="s">
        <v>76</v>
      </c>
      <c r="E829" s="104"/>
      <c r="F829" s="104"/>
      <c r="G829" s="105">
        <f>G830</f>
        <v>1140253.3687</v>
      </c>
      <c r="H829" s="105">
        <f>H830</f>
        <v>1109518.4615100001</v>
      </c>
      <c r="I829" s="127">
        <f t="shared" si="54"/>
        <v>97.304554581141844</v>
      </c>
    </row>
    <row r="830" spans="1:9" s="175" customFormat="1" ht="27" x14ac:dyDescent="0.2">
      <c r="A830" s="116" t="s">
        <v>667</v>
      </c>
      <c r="B830" s="107" t="s">
        <v>135</v>
      </c>
      <c r="C830" s="107" t="s">
        <v>476</v>
      </c>
      <c r="D830" s="107" t="s">
        <v>76</v>
      </c>
      <c r="E830" s="107" t="s">
        <v>160</v>
      </c>
      <c r="F830" s="107"/>
      <c r="G830" s="108">
        <f>G831</f>
        <v>1140253.3687</v>
      </c>
      <c r="H830" s="108">
        <f>H831</f>
        <v>1109518.4615100001</v>
      </c>
      <c r="I830" s="155">
        <f t="shared" si="54"/>
        <v>97.304554581141844</v>
      </c>
    </row>
    <row r="831" spans="1:9" s="175" customFormat="1" x14ac:dyDescent="0.2">
      <c r="A831" s="103" t="s">
        <v>267</v>
      </c>
      <c r="B831" s="104" t="s">
        <v>135</v>
      </c>
      <c r="C831" s="104" t="s">
        <v>476</v>
      </c>
      <c r="D831" s="104" t="s">
        <v>76</v>
      </c>
      <c r="E831" s="104" t="s">
        <v>161</v>
      </c>
      <c r="F831" s="104"/>
      <c r="G831" s="105">
        <f>G832+G836+G840</f>
        <v>1140253.3687</v>
      </c>
      <c r="H831" s="105">
        <f>H832+H836+H840</f>
        <v>1109518.4615100001</v>
      </c>
      <c r="I831" s="127">
        <f t="shared" si="54"/>
        <v>97.304554581141844</v>
      </c>
    </row>
    <row r="832" spans="1:9" s="175" customFormat="1" ht="24" x14ac:dyDescent="0.2">
      <c r="A832" s="117" t="s">
        <v>268</v>
      </c>
      <c r="B832" s="118" t="s">
        <v>135</v>
      </c>
      <c r="C832" s="118" t="s">
        <v>476</v>
      </c>
      <c r="D832" s="118" t="s">
        <v>76</v>
      </c>
      <c r="E832" s="118" t="s">
        <v>162</v>
      </c>
      <c r="F832" s="118"/>
      <c r="G832" s="119">
        <f>G833</f>
        <v>420230.5687</v>
      </c>
      <c r="H832" s="119">
        <f>H833</f>
        <v>389498.07596000005</v>
      </c>
      <c r="I832" s="129">
        <f t="shared" si="54"/>
        <v>92.686754598773675</v>
      </c>
    </row>
    <row r="833" spans="1:9" s="175" customFormat="1" ht="24" x14ac:dyDescent="0.2">
      <c r="A833" s="112" t="s">
        <v>104</v>
      </c>
      <c r="B833" s="113" t="s">
        <v>135</v>
      </c>
      <c r="C833" s="113" t="s">
        <v>476</v>
      </c>
      <c r="D833" s="113" t="s">
        <v>76</v>
      </c>
      <c r="E833" s="113" t="s">
        <v>657</v>
      </c>
      <c r="F833" s="113" t="s">
        <v>391</v>
      </c>
      <c r="G833" s="114">
        <f>G834+G835</f>
        <v>420230.5687</v>
      </c>
      <c r="H833" s="114">
        <f>H834+H835</f>
        <v>389498.07596000005</v>
      </c>
      <c r="I833" s="128">
        <f t="shared" si="54"/>
        <v>92.686754598773675</v>
      </c>
    </row>
    <row r="834" spans="1:9" s="175" customFormat="1" x14ac:dyDescent="0.2">
      <c r="A834" s="112" t="s">
        <v>105</v>
      </c>
      <c r="B834" s="123">
        <v>612</v>
      </c>
      <c r="C834" s="113" t="s">
        <v>476</v>
      </c>
      <c r="D834" s="113" t="s">
        <v>76</v>
      </c>
      <c r="E834" s="113" t="s">
        <v>657</v>
      </c>
      <c r="F834" s="113" t="s">
        <v>409</v>
      </c>
      <c r="G834" s="114">
        <f>419610.36041-40844.77859-3680.35+568.6</f>
        <v>375653.83182000002</v>
      </c>
      <c r="H834" s="114">
        <v>347225.93339000002</v>
      </c>
      <c r="I834" s="128">
        <f t="shared" si="54"/>
        <v>92.432421548245614</v>
      </c>
    </row>
    <row r="835" spans="1:9" s="175" customFormat="1" x14ac:dyDescent="0.2">
      <c r="A835" s="112" t="s">
        <v>502</v>
      </c>
      <c r="B835" s="123">
        <v>612</v>
      </c>
      <c r="C835" s="113" t="s">
        <v>476</v>
      </c>
      <c r="D835" s="113" t="s">
        <v>76</v>
      </c>
      <c r="E835" s="113" t="s">
        <v>657</v>
      </c>
      <c r="F835" s="113" t="s">
        <v>503</v>
      </c>
      <c r="G835" s="114">
        <f>45145.33688-568.6</f>
        <v>44576.736880000004</v>
      </c>
      <c r="H835" s="114">
        <v>42272.142570000004</v>
      </c>
      <c r="I835" s="128">
        <f t="shared" si="54"/>
        <v>94.830051566573985</v>
      </c>
    </row>
    <row r="836" spans="1:9" s="175" customFormat="1" ht="36" x14ac:dyDescent="0.2">
      <c r="A836" s="117" t="s">
        <v>354</v>
      </c>
      <c r="B836" s="122">
        <v>612</v>
      </c>
      <c r="C836" s="118" t="s">
        <v>476</v>
      </c>
      <c r="D836" s="118" t="s">
        <v>76</v>
      </c>
      <c r="E836" s="118" t="s">
        <v>163</v>
      </c>
      <c r="F836" s="118"/>
      <c r="G836" s="119">
        <f>G837</f>
        <v>718311.3</v>
      </c>
      <c r="H836" s="119">
        <f>H837</f>
        <v>718308.88555000001</v>
      </c>
      <c r="I836" s="129">
        <f t="shared" si="54"/>
        <v>99.999663871360497</v>
      </c>
    </row>
    <row r="837" spans="1:9" s="175" customFormat="1" ht="24" x14ac:dyDescent="0.2">
      <c r="A837" s="112" t="s">
        <v>104</v>
      </c>
      <c r="B837" s="123">
        <v>612</v>
      </c>
      <c r="C837" s="113" t="s">
        <v>476</v>
      </c>
      <c r="D837" s="113" t="s">
        <v>76</v>
      </c>
      <c r="E837" s="113" t="s">
        <v>163</v>
      </c>
      <c r="F837" s="113" t="s">
        <v>391</v>
      </c>
      <c r="G837" s="114">
        <f>G838+G839</f>
        <v>718311.3</v>
      </c>
      <c r="H837" s="114">
        <f>H838+H839</f>
        <v>718308.88555000001</v>
      </c>
      <c r="I837" s="128">
        <f t="shared" si="54"/>
        <v>99.999663871360497</v>
      </c>
    </row>
    <row r="838" spans="1:9" s="175" customFormat="1" x14ac:dyDescent="0.2">
      <c r="A838" s="112" t="s">
        <v>105</v>
      </c>
      <c r="B838" s="123">
        <v>612</v>
      </c>
      <c r="C838" s="113" t="s">
        <v>476</v>
      </c>
      <c r="D838" s="113" t="s">
        <v>76</v>
      </c>
      <c r="E838" s="113" t="s">
        <v>163</v>
      </c>
      <c r="F838" s="113" t="s">
        <v>409</v>
      </c>
      <c r="G838" s="114">
        <f>652413.15173-648.83</f>
        <v>651764.32173000008</v>
      </c>
      <c r="H838" s="114">
        <v>651761.92021999997</v>
      </c>
      <c r="I838" s="128">
        <f t="shared" si="54"/>
        <v>99.999631537057184</v>
      </c>
    </row>
    <row r="839" spans="1:9" s="175" customFormat="1" x14ac:dyDescent="0.2">
      <c r="A839" s="112" t="s">
        <v>502</v>
      </c>
      <c r="B839" s="123">
        <v>612</v>
      </c>
      <c r="C839" s="113" t="s">
        <v>476</v>
      </c>
      <c r="D839" s="113" t="s">
        <v>76</v>
      </c>
      <c r="E839" s="113" t="s">
        <v>163</v>
      </c>
      <c r="F839" s="113" t="s">
        <v>503</v>
      </c>
      <c r="G839" s="114">
        <f>65898.14827+648.83</f>
        <v>66546.978270000007</v>
      </c>
      <c r="H839" s="114">
        <v>66546.965330000006</v>
      </c>
      <c r="I839" s="128">
        <f t="shared" si="54"/>
        <v>99.999980555090048</v>
      </c>
    </row>
    <row r="840" spans="1:9" s="175" customFormat="1" ht="24" x14ac:dyDescent="0.2">
      <c r="A840" s="103" t="s">
        <v>701</v>
      </c>
      <c r="B840" s="104" t="s">
        <v>135</v>
      </c>
      <c r="C840" s="104" t="s">
        <v>476</v>
      </c>
      <c r="D840" s="104" t="s">
        <v>76</v>
      </c>
      <c r="E840" s="104" t="s">
        <v>702</v>
      </c>
      <c r="F840" s="104"/>
      <c r="G840" s="105">
        <f>G841</f>
        <v>1711.5</v>
      </c>
      <c r="H840" s="105">
        <f>H841</f>
        <v>1711.5</v>
      </c>
      <c r="I840" s="127">
        <f t="shared" si="54"/>
        <v>100</v>
      </c>
    </row>
    <row r="841" spans="1:9" s="175" customFormat="1" ht="24" x14ac:dyDescent="0.2">
      <c r="A841" s="112" t="s">
        <v>104</v>
      </c>
      <c r="B841" s="113" t="s">
        <v>135</v>
      </c>
      <c r="C841" s="113" t="s">
        <v>476</v>
      </c>
      <c r="D841" s="113" t="s">
        <v>76</v>
      </c>
      <c r="E841" s="113" t="s">
        <v>702</v>
      </c>
      <c r="F841" s="113" t="s">
        <v>391</v>
      </c>
      <c r="G841" s="114">
        <f>G842</f>
        <v>1711.5</v>
      </c>
      <c r="H841" s="114">
        <f>H842</f>
        <v>1711.5</v>
      </c>
      <c r="I841" s="128">
        <f t="shared" si="54"/>
        <v>100</v>
      </c>
    </row>
    <row r="842" spans="1:9" s="175" customFormat="1" x14ac:dyDescent="0.2">
      <c r="A842" s="112" t="s">
        <v>105</v>
      </c>
      <c r="B842" s="113" t="s">
        <v>135</v>
      </c>
      <c r="C842" s="113" t="s">
        <v>476</v>
      </c>
      <c r="D842" s="113" t="s">
        <v>76</v>
      </c>
      <c r="E842" s="113" t="s">
        <v>702</v>
      </c>
      <c r="F842" s="113" t="s">
        <v>409</v>
      </c>
      <c r="G842" s="114">
        <v>1711.5</v>
      </c>
      <c r="H842" s="114">
        <v>1711.5</v>
      </c>
      <c r="I842" s="128">
        <f t="shared" si="54"/>
        <v>100</v>
      </c>
    </row>
    <row r="843" spans="1:9" s="175" customFormat="1" x14ac:dyDescent="0.2">
      <c r="A843" s="103" t="s">
        <v>366</v>
      </c>
      <c r="B843" s="135">
        <v>612</v>
      </c>
      <c r="C843" s="104" t="s">
        <v>476</v>
      </c>
      <c r="D843" s="104" t="s">
        <v>477</v>
      </c>
      <c r="E843" s="104"/>
      <c r="F843" s="118"/>
      <c r="G843" s="105">
        <f>G844</f>
        <v>1415561.32571</v>
      </c>
      <c r="H843" s="105">
        <f>H844</f>
        <v>1379573.3835400001</v>
      </c>
      <c r="I843" s="127">
        <f t="shared" si="54"/>
        <v>97.45769105750685</v>
      </c>
    </row>
    <row r="844" spans="1:9" s="175" customFormat="1" ht="27" x14ac:dyDescent="0.2">
      <c r="A844" s="116" t="s">
        <v>667</v>
      </c>
      <c r="B844" s="107" t="s">
        <v>135</v>
      </c>
      <c r="C844" s="107" t="s">
        <v>476</v>
      </c>
      <c r="D844" s="107" t="s">
        <v>477</v>
      </c>
      <c r="E844" s="107" t="s">
        <v>160</v>
      </c>
      <c r="F844" s="107"/>
      <c r="G844" s="108">
        <f>G845+G862</f>
        <v>1415561.32571</v>
      </c>
      <c r="H844" s="108">
        <f>H845+H862</f>
        <v>1379573.3835400001</v>
      </c>
      <c r="I844" s="155">
        <f t="shared" si="54"/>
        <v>97.45769105750685</v>
      </c>
    </row>
    <row r="845" spans="1:9" s="175" customFormat="1" x14ac:dyDescent="0.2">
      <c r="A845" s="103" t="s">
        <v>267</v>
      </c>
      <c r="B845" s="104" t="s">
        <v>135</v>
      </c>
      <c r="C845" s="104" t="s">
        <v>476</v>
      </c>
      <c r="D845" s="104" t="s">
        <v>477</v>
      </c>
      <c r="E845" s="104" t="s">
        <v>161</v>
      </c>
      <c r="F845" s="104"/>
      <c r="G845" s="105">
        <f>G846+G850+G854+G858</f>
        <v>1388608.1257100001</v>
      </c>
      <c r="H845" s="105">
        <f>H846+H850+H854+H858</f>
        <v>1369111.2985400001</v>
      </c>
      <c r="I845" s="127">
        <f t="shared" si="54"/>
        <v>98.595944614681613</v>
      </c>
    </row>
    <row r="846" spans="1:9" s="175" customFormat="1" ht="24" x14ac:dyDescent="0.2">
      <c r="A846" s="136" t="s">
        <v>269</v>
      </c>
      <c r="B846" s="153">
        <v>612</v>
      </c>
      <c r="C846" s="132" t="s">
        <v>476</v>
      </c>
      <c r="D846" s="132" t="s">
        <v>477</v>
      </c>
      <c r="E846" s="132" t="s">
        <v>166</v>
      </c>
      <c r="F846" s="132"/>
      <c r="G846" s="137">
        <f>G847</f>
        <v>258149.42771000002</v>
      </c>
      <c r="H846" s="137">
        <f>H847</f>
        <v>245656.76045</v>
      </c>
      <c r="I846" s="204">
        <f t="shared" si="54"/>
        <v>95.160683728482226</v>
      </c>
    </row>
    <row r="847" spans="1:9" s="175" customFormat="1" ht="24" x14ac:dyDescent="0.2">
      <c r="A847" s="112" t="s">
        <v>104</v>
      </c>
      <c r="B847" s="123">
        <v>612</v>
      </c>
      <c r="C847" s="113" t="s">
        <v>476</v>
      </c>
      <c r="D847" s="113" t="s">
        <v>477</v>
      </c>
      <c r="E847" s="113" t="s">
        <v>658</v>
      </c>
      <c r="F847" s="113" t="s">
        <v>391</v>
      </c>
      <c r="G847" s="114">
        <f>G848+G849</f>
        <v>258149.42771000002</v>
      </c>
      <c r="H847" s="114">
        <f>H848+H849</f>
        <v>245656.76045</v>
      </c>
      <c r="I847" s="128">
        <f t="shared" si="54"/>
        <v>95.160683728482226</v>
      </c>
    </row>
    <row r="848" spans="1:9" s="175" customFormat="1" x14ac:dyDescent="0.2">
      <c r="A848" s="112" t="s">
        <v>105</v>
      </c>
      <c r="B848" s="123">
        <v>612</v>
      </c>
      <c r="C848" s="113" t="s">
        <v>476</v>
      </c>
      <c r="D848" s="113" t="s">
        <v>477</v>
      </c>
      <c r="E848" s="113" t="s">
        <v>658</v>
      </c>
      <c r="F848" s="113" t="s">
        <v>409</v>
      </c>
      <c r="G848" s="114">
        <v>249681.2329</v>
      </c>
      <c r="H848" s="114">
        <v>238054.27335</v>
      </c>
      <c r="I848" s="128">
        <f t="shared" si="54"/>
        <v>95.343278541620819</v>
      </c>
    </row>
    <row r="849" spans="1:9" s="175" customFormat="1" x14ac:dyDescent="0.2">
      <c r="A849" s="112" t="s">
        <v>502</v>
      </c>
      <c r="B849" s="123">
        <v>612</v>
      </c>
      <c r="C849" s="113" t="s">
        <v>476</v>
      </c>
      <c r="D849" s="113" t="s">
        <v>477</v>
      </c>
      <c r="E849" s="113" t="s">
        <v>658</v>
      </c>
      <c r="F849" s="113" t="s">
        <v>503</v>
      </c>
      <c r="G849" s="114">
        <v>8468.1948100000009</v>
      </c>
      <c r="H849" s="114">
        <v>7602.4871000000003</v>
      </c>
      <c r="I849" s="128">
        <f t="shared" si="54"/>
        <v>89.776950939086859</v>
      </c>
    </row>
    <row r="850" spans="1:9" s="175" customFormat="1" ht="48" x14ac:dyDescent="0.2">
      <c r="A850" s="133" t="s">
        <v>355</v>
      </c>
      <c r="B850" s="118" t="s">
        <v>135</v>
      </c>
      <c r="C850" s="118" t="s">
        <v>476</v>
      </c>
      <c r="D850" s="118" t="s">
        <v>477</v>
      </c>
      <c r="E850" s="118" t="s">
        <v>270</v>
      </c>
      <c r="F850" s="118"/>
      <c r="G850" s="119">
        <f>G851</f>
        <v>1039429.58</v>
      </c>
      <c r="H850" s="119">
        <f>H851</f>
        <v>1039401.33909</v>
      </c>
      <c r="I850" s="129">
        <f t="shared" si="54"/>
        <v>99.997283037683033</v>
      </c>
    </row>
    <row r="851" spans="1:9" s="175" customFormat="1" ht="24" x14ac:dyDescent="0.2">
      <c r="A851" s="112" t="s">
        <v>104</v>
      </c>
      <c r="B851" s="113" t="s">
        <v>135</v>
      </c>
      <c r="C851" s="113" t="s">
        <v>476</v>
      </c>
      <c r="D851" s="113" t="s">
        <v>477</v>
      </c>
      <c r="E851" s="113" t="s">
        <v>270</v>
      </c>
      <c r="F851" s="113" t="s">
        <v>391</v>
      </c>
      <c r="G851" s="114">
        <f>G852+G853</f>
        <v>1039429.58</v>
      </c>
      <c r="H851" s="114">
        <f>H852+H853</f>
        <v>1039401.33909</v>
      </c>
      <c r="I851" s="128">
        <f t="shared" ref="I851:I914" si="58">H851/G851*100</f>
        <v>99.997283037683033</v>
      </c>
    </row>
    <row r="852" spans="1:9" s="175" customFormat="1" x14ac:dyDescent="0.2">
      <c r="A852" s="112" t="s">
        <v>105</v>
      </c>
      <c r="B852" s="113" t="s">
        <v>135</v>
      </c>
      <c r="C852" s="113" t="s">
        <v>476</v>
      </c>
      <c r="D852" s="113" t="s">
        <v>477</v>
      </c>
      <c r="E852" s="113" t="s">
        <v>270</v>
      </c>
      <c r="F852" s="113" t="s">
        <v>409</v>
      </c>
      <c r="G852" s="114">
        <f>962116.50128+34794.4</f>
        <v>996910.90127999999</v>
      </c>
      <c r="H852" s="114">
        <v>996882.66037000006</v>
      </c>
      <c r="I852" s="128">
        <f t="shared" si="58"/>
        <v>99.997167158071633</v>
      </c>
    </row>
    <row r="853" spans="1:9" s="175" customFormat="1" x14ac:dyDescent="0.2">
      <c r="A853" s="112" t="s">
        <v>502</v>
      </c>
      <c r="B853" s="113" t="s">
        <v>135</v>
      </c>
      <c r="C853" s="113" t="s">
        <v>476</v>
      </c>
      <c r="D853" s="113" t="s">
        <v>477</v>
      </c>
      <c r="E853" s="113" t="s">
        <v>270</v>
      </c>
      <c r="F853" s="113" t="s">
        <v>503</v>
      </c>
      <c r="G853" s="114">
        <f>41030.37872+1488.3</f>
        <v>42518.678720000004</v>
      </c>
      <c r="H853" s="114">
        <v>42518.678720000004</v>
      </c>
      <c r="I853" s="128">
        <f t="shared" si="58"/>
        <v>100</v>
      </c>
    </row>
    <row r="854" spans="1:9" s="175" customFormat="1" ht="24" x14ac:dyDescent="0.2">
      <c r="A854" s="117" t="s">
        <v>750</v>
      </c>
      <c r="B854" s="118" t="s">
        <v>135</v>
      </c>
      <c r="C854" s="118" t="s">
        <v>476</v>
      </c>
      <c r="D854" s="118" t="s">
        <v>477</v>
      </c>
      <c r="E854" s="118" t="s">
        <v>751</v>
      </c>
      <c r="F854" s="118"/>
      <c r="G854" s="119">
        <f>G855</f>
        <v>32810.400000000001</v>
      </c>
      <c r="H854" s="119">
        <f>H855</f>
        <v>30993.929</v>
      </c>
      <c r="I854" s="129">
        <f t="shared" si="58"/>
        <v>94.463734059932207</v>
      </c>
    </row>
    <row r="855" spans="1:9" s="175" customFormat="1" ht="24" x14ac:dyDescent="0.2">
      <c r="A855" s="112" t="s">
        <v>104</v>
      </c>
      <c r="B855" s="113" t="s">
        <v>135</v>
      </c>
      <c r="C855" s="113" t="s">
        <v>476</v>
      </c>
      <c r="D855" s="113" t="s">
        <v>477</v>
      </c>
      <c r="E855" s="113" t="s">
        <v>751</v>
      </c>
      <c r="F855" s="113" t="s">
        <v>391</v>
      </c>
      <c r="G855" s="114">
        <f>G856+G857</f>
        <v>32810.400000000001</v>
      </c>
      <c r="H855" s="114">
        <f>H856+H857</f>
        <v>30993.929</v>
      </c>
      <c r="I855" s="128">
        <f t="shared" si="58"/>
        <v>94.463734059932207</v>
      </c>
    </row>
    <row r="856" spans="1:9" s="175" customFormat="1" x14ac:dyDescent="0.2">
      <c r="A856" s="112" t="s">
        <v>105</v>
      </c>
      <c r="B856" s="113" t="s">
        <v>135</v>
      </c>
      <c r="C856" s="113" t="s">
        <v>476</v>
      </c>
      <c r="D856" s="113" t="s">
        <v>477</v>
      </c>
      <c r="E856" s="113" t="s">
        <v>751</v>
      </c>
      <c r="F856" s="113" t="s">
        <v>409</v>
      </c>
      <c r="G856" s="114">
        <v>31560.48</v>
      </c>
      <c r="H856" s="114">
        <v>29798.072</v>
      </c>
      <c r="I856" s="128">
        <f t="shared" si="58"/>
        <v>94.415775678950382</v>
      </c>
    </row>
    <row r="857" spans="1:9" s="175" customFormat="1" x14ac:dyDescent="0.2">
      <c r="A857" s="112" t="s">
        <v>502</v>
      </c>
      <c r="B857" s="113" t="s">
        <v>135</v>
      </c>
      <c r="C857" s="113" t="s">
        <v>476</v>
      </c>
      <c r="D857" s="113" t="s">
        <v>477</v>
      </c>
      <c r="E857" s="113" t="s">
        <v>751</v>
      </c>
      <c r="F857" s="113" t="s">
        <v>503</v>
      </c>
      <c r="G857" s="114">
        <v>1249.92</v>
      </c>
      <c r="H857" s="114">
        <v>1195.857</v>
      </c>
      <c r="I857" s="128">
        <f t="shared" si="58"/>
        <v>95.674683179723502</v>
      </c>
    </row>
    <row r="858" spans="1:9" s="175" customFormat="1" ht="24" x14ac:dyDescent="0.2">
      <c r="A858" s="117" t="s">
        <v>752</v>
      </c>
      <c r="B858" s="118" t="s">
        <v>135</v>
      </c>
      <c r="C858" s="118" t="s">
        <v>476</v>
      </c>
      <c r="D858" s="118" t="s">
        <v>477</v>
      </c>
      <c r="E858" s="118" t="s">
        <v>753</v>
      </c>
      <c r="F858" s="118"/>
      <c r="G858" s="119">
        <f>G859</f>
        <v>58218.718000000008</v>
      </c>
      <c r="H858" s="119">
        <f>H859</f>
        <v>53059.27</v>
      </c>
      <c r="I858" s="129">
        <f t="shared" si="58"/>
        <v>91.137819283481974</v>
      </c>
    </row>
    <row r="859" spans="1:9" s="175" customFormat="1" ht="24" x14ac:dyDescent="0.2">
      <c r="A859" s="112" t="s">
        <v>104</v>
      </c>
      <c r="B859" s="113" t="s">
        <v>135</v>
      </c>
      <c r="C859" s="113" t="s">
        <v>476</v>
      </c>
      <c r="D859" s="113" t="s">
        <v>477</v>
      </c>
      <c r="E859" s="113" t="s">
        <v>753</v>
      </c>
      <c r="F859" s="113" t="s">
        <v>391</v>
      </c>
      <c r="G859" s="114">
        <f>G860+G861</f>
        <v>58218.718000000008</v>
      </c>
      <c r="H859" s="114">
        <f>H860+H861</f>
        <v>53059.27</v>
      </c>
      <c r="I859" s="128">
        <f t="shared" si="58"/>
        <v>91.137819283481974</v>
      </c>
    </row>
    <row r="860" spans="1:9" s="175" customFormat="1" x14ac:dyDescent="0.2">
      <c r="A860" s="112" t="s">
        <v>105</v>
      </c>
      <c r="B860" s="113" t="s">
        <v>135</v>
      </c>
      <c r="C860" s="113" t="s">
        <v>476</v>
      </c>
      <c r="D860" s="113" t="s">
        <v>477</v>
      </c>
      <c r="E860" s="113" t="s">
        <v>753</v>
      </c>
      <c r="F860" s="113" t="s">
        <v>409</v>
      </c>
      <c r="G860" s="114">
        <f>67563.95268-11814.17868</f>
        <v>55749.774000000005</v>
      </c>
      <c r="H860" s="114">
        <v>50698.205999999998</v>
      </c>
      <c r="I860" s="128">
        <f t="shared" si="58"/>
        <v>90.938854747644342</v>
      </c>
    </row>
    <row r="861" spans="1:9" s="175" customFormat="1" x14ac:dyDescent="0.2">
      <c r="A861" s="112" t="s">
        <v>502</v>
      </c>
      <c r="B861" s="113" t="s">
        <v>135</v>
      </c>
      <c r="C861" s="113" t="s">
        <v>476</v>
      </c>
      <c r="D861" s="113" t="s">
        <v>477</v>
      </c>
      <c r="E861" s="113" t="s">
        <v>753</v>
      </c>
      <c r="F861" s="113" t="s">
        <v>503</v>
      </c>
      <c r="G861" s="114">
        <f>3669.891-1200.947</f>
        <v>2468.9440000000004</v>
      </c>
      <c r="H861" s="114">
        <v>2361.0639999999999</v>
      </c>
      <c r="I861" s="128">
        <f t="shared" si="58"/>
        <v>95.630520578838542</v>
      </c>
    </row>
    <row r="862" spans="1:9" s="175" customFormat="1" x14ac:dyDescent="0.2">
      <c r="A862" s="103" t="s">
        <v>283</v>
      </c>
      <c r="B862" s="104" t="s">
        <v>135</v>
      </c>
      <c r="C862" s="104" t="s">
        <v>476</v>
      </c>
      <c r="D862" s="104" t="s">
        <v>477</v>
      </c>
      <c r="E862" s="104" t="s">
        <v>169</v>
      </c>
      <c r="F862" s="104"/>
      <c r="G862" s="105">
        <f>G863</f>
        <v>26953.200000000001</v>
      </c>
      <c r="H862" s="105">
        <f>H863</f>
        <v>10462.084999999999</v>
      </c>
      <c r="I862" s="127">
        <f t="shared" si="58"/>
        <v>38.815743585177266</v>
      </c>
    </row>
    <row r="863" spans="1:9" s="175" customFormat="1" x14ac:dyDescent="0.2">
      <c r="A863" s="121" t="s">
        <v>177</v>
      </c>
      <c r="B863" s="118" t="s">
        <v>135</v>
      </c>
      <c r="C863" s="118" t="s">
        <v>476</v>
      </c>
      <c r="D863" s="118" t="s">
        <v>477</v>
      </c>
      <c r="E863" s="118" t="s">
        <v>479</v>
      </c>
      <c r="F863" s="118"/>
      <c r="G863" s="119">
        <f>G864</f>
        <v>26953.200000000001</v>
      </c>
      <c r="H863" s="119">
        <f>H864</f>
        <v>10462.084999999999</v>
      </c>
      <c r="I863" s="129">
        <f t="shared" si="58"/>
        <v>38.815743585177266</v>
      </c>
    </row>
    <row r="864" spans="1:9" s="175" customFormat="1" ht="24" x14ac:dyDescent="0.2">
      <c r="A864" s="112" t="s">
        <v>104</v>
      </c>
      <c r="B864" s="113" t="s">
        <v>135</v>
      </c>
      <c r="C864" s="113" t="s">
        <v>476</v>
      </c>
      <c r="D864" s="113" t="s">
        <v>477</v>
      </c>
      <c r="E864" s="113" t="s">
        <v>662</v>
      </c>
      <c r="F864" s="113" t="s">
        <v>391</v>
      </c>
      <c r="G864" s="114">
        <f>G865+G866</f>
        <v>26953.200000000001</v>
      </c>
      <c r="H864" s="114">
        <f>H865+H866</f>
        <v>10462.084999999999</v>
      </c>
      <c r="I864" s="128">
        <f t="shared" si="58"/>
        <v>38.815743585177266</v>
      </c>
    </row>
    <row r="865" spans="1:9" s="175" customFormat="1" x14ac:dyDescent="0.2">
      <c r="A865" s="112" t="s">
        <v>105</v>
      </c>
      <c r="B865" s="113" t="s">
        <v>135</v>
      </c>
      <c r="C865" s="113" t="s">
        <v>476</v>
      </c>
      <c r="D865" s="113" t="s">
        <v>477</v>
      </c>
      <c r="E865" s="113" t="s">
        <v>662</v>
      </c>
      <c r="F865" s="113" t="s">
        <v>409</v>
      </c>
      <c r="G865" s="114">
        <v>26058.400000000001</v>
      </c>
      <c r="H865" s="114">
        <v>10117.535</v>
      </c>
      <c r="I865" s="128">
        <f t="shared" si="58"/>
        <v>38.82638611733644</v>
      </c>
    </row>
    <row r="866" spans="1:9" s="175" customFormat="1" x14ac:dyDescent="0.2">
      <c r="A866" s="112" t="s">
        <v>502</v>
      </c>
      <c r="B866" s="113" t="s">
        <v>135</v>
      </c>
      <c r="C866" s="113" t="s">
        <v>476</v>
      </c>
      <c r="D866" s="113" t="s">
        <v>477</v>
      </c>
      <c r="E866" s="113" t="s">
        <v>662</v>
      </c>
      <c r="F866" s="113" t="s">
        <v>503</v>
      </c>
      <c r="G866" s="114">
        <v>894.8</v>
      </c>
      <c r="H866" s="114">
        <v>344.55</v>
      </c>
      <c r="I866" s="128">
        <f t="shared" si="58"/>
        <v>38.505811354492621</v>
      </c>
    </row>
    <row r="867" spans="1:9" s="175" customFormat="1" x14ac:dyDescent="0.2">
      <c r="A867" s="164" t="s">
        <v>271</v>
      </c>
      <c r="B867" s="104" t="s">
        <v>135</v>
      </c>
      <c r="C867" s="104" t="s">
        <v>476</v>
      </c>
      <c r="D867" s="104" t="s">
        <v>469</v>
      </c>
      <c r="E867" s="104"/>
      <c r="F867" s="104"/>
      <c r="G867" s="105">
        <f t="shared" ref="G867:H870" si="59">G868</f>
        <v>101291.375</v>
      </c>
      <c r="H867" s="105">
        <f t="shared" si="59"/>
        <v>99633.532989999992</v>
      </c>
      <c r="I867" s="127">
        <f t="shared" si="58"/>
        <v>98.363294002080622</v>
      </c>
    </row>
    <row r="868" spans="1:9" s="175" customFormat="1" ht="27" x14ac:dyDescent="0.2">
      <c r="A868" s="116" t="s">
        <v>667</v>
      </c>
      <c r="B868" s="107" t="s">
        <v>135</v>
      </c>
      <c r="C868" s="107" t="s">
        <v>476</v>
      </c>
      <c r="D868" s="107" t="s">
        <v>469</v>
      </c>
      <c r="E868" s="107" t="s">
        <v>160</v>
      </c>
      <c r="F868" s="132"/>
      <c r="G868" s="108">
        <f t="shared" si="59"/>
        <v>101291.375</v>
      </c>
      <c r="H868" s="108">
        <f t="shared" si="59"/>
        <v>99633.532989999992</v>
      </c>
      <c r="I868" s="155">
        <f t="shared" si="58"/>
        <v>98.363294002080622</v>
      </c>
    </row>
    <row r="869" spans="1:9" s="175" customFormat="1" x14ac:dyDescent="0.2">
      <c r="A869" s="103" t="s">
        <v>267</v>
      </c>
      <c r="B869" s="104" t="s">
        <v>135</v>
      </c>
      <c r="C869" s="104" t="s">
        <v>476</v>
      </c>
      <c r="D869" s="104" t="s">
        <v>469</v>
      </c>
      <c r="E869" s="104" t="s">
        <v>161</v>
      </c>
      <c r="F869" s="113"/>
      <c r="G869" s="105">
        <f t="shared" si="59"/>
        <v>101291.375</v>
      </c>
      <c r="H869" s="105">
        <f t="shared" si="59"/>
        <v>99633.532989999992</v>
      </c>
      <c r="I869" s="127">
        <f t="shared" si="58"/>
        <v>98.363294002080622</v>
      </c>
    </row>
    <row r="870" spans="1:9" s="175" customFormat="1" ht="24" x14ac:dyDescent="0.2">
      <c r="A870" s="117" t="s">
        <v>272</v>
      </c>
      <c r="B870" s="118" t="s">
        <v>135</v>
      </c>
      <c r="C870" s="118" t="s">
        <v>476</v>
      </c>
      <c r="D870" s="118" t="s">
        <v>469</v>
      </c>
      <c r="E870" s="118" t="s">
        <v>167</v>
      </c>
      <c r="F870" s="118"/>
      <c r="G870" s="119">
        <f t="shared" si="59"/>
        <v>101291.375</v>
      </c>
      <c r="H870" s="119">
        <f t="shared" si="59"/>
        <v>99633.532989999992</v>
      </c>
      <c r="I870" s="129">
        <f t="shared" si="58"/>
        <v>98.363294002080622</v>
      </c>
    </row>
    <row r="871" spans="1:9" s="175" customFormat="1" ht="24" x14ac:dyDescent="0.2">
      <c r="A871" s="112" t="s">
        <v>104</v>
      </c>
      <c r="B871" s="113" t="s">
        <v>135</v>
      </c>
      <c r="C871" s="113" t="s">
        <v>476</v>
      </c>
      <c r="D871" s="113" t="s">
        <v>469</v>
      </c>
      <c r="E871" s="113" t="s">
        <v>659</v>
      </c>
      <c r="F871" s="113" t="s">
        <v>391</v>
      </c>
      <c r="G871" s="114">
        <f>G872+G873</f>
        <v>101291.375</v>
      </c>
      <c r="H871" s="114">
        <f>H872+H873</f>
        <v>99633.532989999992</v>
      </c>
      <c r="I871" s="128">
        <f t="shared" si="58"/>
        <v>98.363294002080622</v>
      </c>
    </row>
    <row r="872" spans="1:9" s="175" customFormat="1" x14ac:dyDescent="0.2">
      <c r="A872" s="112" t="s">
        <v>105</v>
      </c>
      <c r="B872" s="123">
        <v>612</v>
      </c>
      <c r="C872" s="113" t="s">
        <v>476</v>
      </c>
      <c r="D872" s="113" t="s">
        <v>469</v>
      </c>
      <c r="E872" s="113" t="s">
        <v>659</v>
      </c>
      <c r="F872" s="113" t="s">
        <v>409</v>
      </c>
      <c r="G872" s="114">
        <v>3011.7314500000002</v>
      </c>
      <c r="H872" s="114">
        <v>2658.54405</v>
      </c>
      <c r="I872" s="128">
        <f t="shared" si="58"/>
        <v>88.272945119326621</v>
      </c>
    </row>
    <row r="873" spans="1:9" s="175" customFormat="1" x14ac:dyDescent="0.2">
      <c r="A873" s="112" t="s">
        <v>502</v>
      </c>
      <c r="B873" s="123">
        <v>612</v>
      </c>
      <c r="C873" s="113" t="s">
        <v>476</v>
      </c>
      <c r="D873" s="113" t="s">
        <v>469</v>
      </c>
      <c r="E873" s="113" t="s">
        <v>659</v>
      </c>
      <c r="F873" s="113" t="s">
        <v>503</v>
      </c>
      <c r="G873" s="114">
        <v>98279.643549999993</v>
      </c>
      <c r="H873" s="114">
        <v>96974.988939999996</v>
      </c>
      <c r="I873" s="128">
        <f t="shared" si="58"/>
        <v>98.672507792179516</v>
      </c>
    </row>
    <row r="874" spans="1:9" s="175" customFormat="1" x14ac:dyDescent="0.2">
      <c r="A874" s="103" t="s">
        <v>367</v>
      </c>
      <c r="B874" s="104" t="s">
        <v>135</v>
      </c>
      <c r="C874" s="104" t="s">
        <v>476</v>
      </c>
      <c r="D874" s="104" t="s">
        <v>476</v>
      </c>
      <c r="E874" s="104"/>
      <c r="F874" s="104"/>
      <c r="G874" s="105">
        <f t="shared" ref="G874:H878" si="60">G875</f>
        <v>304.64724999999999</v>
      </c>
      <c r="H874" s="105">
        <f t="shared" si="60"/>
        <v>138.23469</v>
      </c>
      <c r="I874" s="127">
        <f t="shared" si="58"/>
        <v>45.375328351068326</v>
      </c>
    </row>
    <row r="875" spans="1:9" s="175" customFormat="1" x14ac:dyDescent="0.2">
      <c r="A875" s="138" t="s">
        <v>74</v>
      </c>
      <c r="B875" s="118" t="s">
        <v>135</v>
      </c>
      <c r="C875" s="118" t="s">
        <v>476</v>
      </c>
      <c r="D875" s="118" t="s">
        <v>476</v>
      </c>
      <c r="E875" s="118" t="s">
        <v>209</v>
      </c>
      <c r="F875" s="118"/>
      <c r="G875" s="119">
        <f t="shared" si="60"/>
        <v>304.64724999999999</v>
      </c>
      <c r="H875" s="119">
        <f t="shared" si="60"/>
        <v>138.23469</v>
      </c>
      <c r="I875" s="129">
        <f t="shared" si="58"/>
        <v>45.375328351068326</v>
      </c>
    </row>
    <row r="876" spans="1:9" s="175" customFormat="1" x14ac:dyDescent="0.2">
      <c r="A876" s="120" t="s">
        <v>297</v>
      </c>
      <c r="B876" s="104" t="s">
        <v>135</v>
      </c>
      <c r="C876" s="104" t="s">
        <v>476</v>
      </c>
      <c r="D876" s="104" t="s">
        <v>476</v>
      </c>
      <c r="E876" s="104" t="s">
        <v>210</v>
      </c>
      <c r="F876" s="104"/>
      <c r="G876" s="105">
        <f t="shared" si="60"/>
        <v>304.64724999999999</v>
      </c>
      <c r="H876" s="105">
        <f t="shared" si="60"/>
        <v>138.23469</v>
      </c>
      <c r="I876" s="127">
        <f t="shared" si="58"/>
        <v>45.375328351068326</v>
      </c>
    </row>
    <row r="877" spans="1:9" s="175" customFormat="1" x14ac:dyDescent="0.2">
      <c r="A877" s="138" t="s">
        <v>316</v>
      </c>
      <c r="B877" s="118" t="s">
        <v>135</v>
      </c>
      <c r="C877" s="118" t="s">
        <v>476</v>
      </c>
      <c r="D877" s="118" t="s">
        <v>476</v>
      </c>
      <c r="E877" s="118" t="s">
        <v>340</v>
      </c>
      <c r="F877" s="118"/>
      <c r="G877" s="119">
        <f t="shared" si="60"/>
        <v>304.64724999999999</v>
      </c>
      <c r="H877" s="119">
        <f t="shared" si="60"/>
        <v>138.23469</v>
      </c>
      <c r="I877" s="129">
        <f t="shared" si="58"/>
        <v>45.375328351068326</v>
      </c>
    </row>
    <row r="878" spans="1:9" s="175" customFormat="1" ht="24" x14ac:dyDescent="0.2">
      <c r="A878" s="112" t="s">
        <v>104</v>
      </c>
      <c r="B878" s="113" t="s">
        <v>135</v>
      </c>
      <c r="C878" s="113" t="s">
        <v>476</v>
      </c>
      <c r="D878" s="113" t="s">
        <v>476</v>
      </c>
      <c r="E878" s="113" t="s">
        <v>340</v>
      </c>
      <c r="F878" s="113" t="s">
        <v>391</v>
      </c>
      <c r="G878" s="114">
        <f t="shared" si="60"/>
        <v>304.64724999999999</v>
      </c>
      <c r="H878" s="114">
        <f t="shared" si="60"/>
        <v>138.23469</v>
      </c>
      <c r="I878" s="128">
        <f t="shared" si="58"/>
        <v>45.375328351068326</v>
      </c>
    </row>
    <row r="879" spans="1:9" s="175" customFormat="1" x14ac:dyDescent="0.2">
      <c r="A879" s="112" t="s">
        <v>105</v>
      </c>
      <c r="B879" s="113" t="s">
        <v>135</v>
      </c>
      <c r="C879" s="113" t="s">
        <v>476</v>
      </c>
      <c r="D879" s="113" t="s">
        <v>476</v>
      </c>
      <c r="E879" s="113" t="s">
        <v>340</v>
      </c>
      <c r="F879" s="113" t="s">
        <v>409</v>
      </c>
      <c r="G879" s="114">
        <v>304.64724999999999</v>
      </c>
      <c r="H879" s="114">
        <v>138.23469</v>
      </c>
      <c r="I879" s="128">
        <f t="shared" si="58"/>
        <v>45.375328351068326</v>
      </c>
    </row>
    <row r="880" spans="1:9" s="175" customFormat="1" x14ac:dyDescent="0.2">
      <c r="A880" s="103" t="s">
        <v>368</v>
      </c>
      <c r="B880" s="104" t="s">
        <v>135</v>
      </c>
      <c r="C880" s="104" t="s">
        <v>476</v>
      </c>
      <c r="D880" s="104" t="s">
        <v>470</v>
      </c>
      <c r="E880" s="104"/>
      <c r="F880" s="113"/>
      <c r="G880" s="105">
        <f>G881+G917</f>
        <v>117452.38231</v>
      </c>
      <c r="H880" s="105">
        <f>H881+H917</f>
        <v>109757.69223</v>
      </c>
      <c r="I880" s="127">
        <f t="shared" si="58"/>
        <v>93.448672620627747</v>
      </c>
    </row>
    <row r="881" spans="1:9" s="175" customFormat="1" ht="27" x14ac:dyDescent="0.2">
      <c r="A881" s="116" t="s">
        <v>667</v>
      </c>
      <c r="B881" s="107" t="s">
        <v>135</v>
      </c>
      <c r="C881" s="107" t="s">
        <v>476</v>
      </c>
      <c r="D881" s="107" t="s">
        <v>470</v>
      </c>
      <c r="E881" s="107" t="s">
        <v>160</v>
      </c>
      <c r="F881" s="113"/>
      <c r="G881" s="108">
        <f>G882+G891+G908</f>
        <v>117143.2</v>
      </c>
      <c r="H881" s="108">
        <f>H882+H891+H908</f>
        <v>109448.50992</v>
      </c>
      <c r="I881" s="155">
        <f t="shared" si="58"/>
        <v>93.431381352054572</v>
      </c>
    </row>
    <row r="882" spans="1:9" s="175" customFormat="1" x14ac:dyDescent="0.2">
      <c r="A882" s="103" t="s">
        <v>267</v>
      </c>
      <c r="B882" s="104" t="s">
        <v>135</v>
      </c>
      <c r="C882" s="104" t="s">
        <v>476</v>
      </c>
      <c r="D882" s="104" t="s">
        <v>470</v>
      </c>
      <c r="E882" s="104" t="s">
        <v>161</v>
      </c>
      <c r="F882" s="104"/>
      <c r="G882" s="105">
        <f>G883+G887</f>
        <v>100951.2</v>
      </c>
      <c r="H882" s="105">
        <f>H883+H887</f>
        <v>94471.177129999996</v>
      </c>
      <c r="I882" s="127">
        <f t="shared" si="58"/>
        <v>93.581034331439355</v>
      </c>
    </row>
    <row r="883" spans="1:9" s="175" customFormat="1" ht="24" x14ac:dyDescent="0.2">
      <c r="A883" s="117" t="s">
        <v>274</v>
      </c>
      <c r="B883" s="118" t="s">
        <v>135</v>
      </c>
      <c r="C883" s="118" t="s">
        <v>476</v>
      </c>
      <c r="D883" s="118" t="s">
        <v>470</v>
      </c>
      <c r="E883" s="118" t="s">
        <v>273</v>
      </c>
      <c r="F883" s="118"/>
      <c r="G883" s="119">
        <f>G884</f>
        <v>23779.200000000001</v>
      </c>
      <c r="H883" s="119">
        <f>H884</f>
        <v>21847.220539999998</v>
      </c>
      <c r="I883" s="129">
        <f t="shared" si="58"/>
        <v>91.875338699367504</v>
      </c>
    </row>
    <row r="884" spans="1:9" s="175" customFormat="1" ht="24" x14ac:dyDescent="0.2">
      <c r="A884" s="112" t="s">
        <v>104</v>
      </c>
      <c r="B884" s="113" t="s">
        <v>135</v>
      </c>
      <c r="C884" s="113" t="s">
        <v>476</v>
      </c>
      <c r="D884" s="113" t="s">
        <v>470</v>
      </c>
      <c r="E884" s="113" t="s">
        <v>660</v>
      </c>
      <c r="F884" s="113" t="s">
        <v>391</v>
      </c>
      <c r="G884" s="114">
        <f>G885+G886</f>
        <v>23779.200000000001</v>
      </c>
      <c r="H884" s="114">
        <f>H885+H886</f>
        <v>21847.220539999998</v>
      </c>
      <c r="I884" s="128">
        <f t="shared" si="58"/>
        <v>91.875338699367504</v>
      </c>
    </row>
    <row r="885" spans="1:9" s="175" customFormat="1" x14ac:dyDescent="0.2">
      <c r="A885" s="112" t="s">
        <v>105</v>
      </c>
      <c r="B885" s="123">
        <v>612</v>
      </c>
      <c r="C885" s="113" t="s">
        <v>476</v>
      </c>
      <c r="D885" s="113" t="s">
        <v>470</v>
      </c>
      <c r="E885" s="113" t="s">
        <v>660</v>
      </c>
      <c r="F885" s="113" t="s">
        <v>409</v>
      </c>
      <c r="G885" s="114">
        <f>9279.2-1000+14200-493.099</f>
        <v>21986.101000000002</v>
      </c>
      <c r="H885" s="114">
        <v>20054.13754</v>
      </c>
      <c r="I885" s="128">
        <f t="shared" si="58"/>
        <v>91.212796393503325</v>
      </c>
    </row>
    <row r="886" spans="1:9" s="175" customFormat="1" x14ac:dyDescent="0.2">
      <c r="A886" s="112" t="s">
        <v>502</v>
      </c>
      <c r="B886" s="123">
        <v>612</v>
      </c>
      <c r="C886" s="113" t="s">
        <v>476</v>
      </c>
      <c r="D886" s="113" t="s">
        <v>470</v>
      </c>
      <c r="E886" s="113" t="s">
        <v>660</v>
      </c>
      <c r="F886" s="113" t="s">
        <v>503</v>
      </c>
      <c r="G886" s="114">
        <f>1000+300+493.099</f>
        <v>1793.0989999999999</v>
      </c>
      <c r="H886" s="114">
        <v>1793.0830000000001</v>
      </c>
      <c r="I886" s="128">
        <f t="shared" si="58"/>
        <v>99.999107690094093</v>
      </c>
    </row>
    <row r="887" spans="1:9" s="175" customFormat="1" ht="24" x14ac:dyDescent="0.2">
      <c r="A887" s="117" t="s">
        <v>281</v>
      </c>
      <c r="B887" s="153">
        <v>612</v>
      </c>
      <c r="C887" s="132" t="s">
        <v>476</v>
      </c>
      <c r="D887" s="132" t="s">
        <v>470</v>
      </c>
      <c r="E887" s="118" t="s">
        <v>275</v>
      </c>
      <c r="F887" s="118"/>
      <c r="G887" s="119">
        <f>G888</f>
        <v>77172</v>
      </c>
      <c r="H887" s="119">
        <f>H888</f>
        <v>72623.956590000002</v>
      </c>
      <c r="I887" s="129">
        <f t="shared" si="58"/>
        <v>94.106614562276476</v>
      </c>
    </row>
    <row r="888" spans="1:9" s="175" customFormat="1" ht="24" x14ac:dyDescent="0.2">
      <c r="A888" s="112" t="s">
        <v>104</v>
      </c>
      <c r="B888" s="113" t="s">
        <v>135</v>
      </c>
      <c r="C888" s="113" t="s">
        <v>476</v>
      </c>
      <c r="D888" s="113" t="s">
        <v>470</v>
      </c>
      <c r="E888" s="113" t="s">
        <v>661</v>
      </c>
      <c r="F888" s="113" t="s">
        <v>391</v>
      </c>
      <c r="G888" s="114">
        <f>G889+G890</f>
        <v>77172</v>
      </c>
      <c r="H888" s="114">
        <f>H889+H890</f>
        <v>72623.956590000002</v>
      </c>
      <c r="I888" s="128">
        <f t="shared" si="58"/>
        <v>94.106614562276476</v>
      </c>
    </row>
    <row r="889" spans="1:9" s="175" customFormat="1" x14ac:dyDescent="0.2">
      <c r="A889" s="112" t="s">
        <v>105</v>
      </c>
      <c r="B889" s="123">
        <v>612</v>
      </c>
      <c r="C889" s="113" t="s">
        <v>476</v>
      </c>
      <c r="D889" s="113" t="s">
        <v>470</v>
      </c>
      <c r="E889" s="113" t="s">
        <v>661</v>
      </c>
      <c r="F889" s="113" t="s">
        <v>409</v>
      </c>
      <c r="G889" s="114">
        <f>68670+1241+421.652+117.75</f>
        <v>70450.402000000002</v>
      </c>
      <c r="H889" s="114">
        <v>66784.584950000004</v>
      </c>
      <c r="I889" s="128">
        <f t="shared" si="58"/>
        <v>94.796598818556063</v>
      </c>
    </row>
    <row r="890" spans="1:9" s="175" customFormat="1" x14ac:dyDescent="0.2">
      <c r="A890" s="112" t="s">
        <v>502</v>
      </c>
      <c r="B890" s="123">
        <v>612</v>
      </c>
      <c r="C890" s="113" t="s">
        <v>476</v>
      </c>
      <c r="D890" s="113" t="s">
        <v>470</v>
      </c>
      <c r="E890" s="113" t="s">
        <v>661</v>
      </c>
      <c r="F890" s="113" t="s">
        <v>503</v>
      </c>
      <c r="G890" s="114">
        <f>8502-1241-421.652-117.75</f>
        <v>6721.598</v>
      </c>
      <c r="H890" s="114">
        <v>5839.3716400000003</v>
      </c>
      <c r="I890" s="128">
        <f t="shared" si="58"/>
        <v>86.874752700176359</v>
      </c>
    </row>
    <row r="891" spans="1:9" s="175" customFormat="1" x14ac:dyDescent="0.2">
      <c r="A891" s="103" t="s">
        <v>444</v>
      </c>
      <c r="B891" s="104" t="s">
        <v>135</v>
      </c>
      <c r="C891" s="104" t="s">
        <v>476</v>
      </c>
      <c r="D891" s="104" t="s">
        <v>470</v>
      </c>
      <c r="E891" s="104" t="s">
        <v>168</v>
      </c>
      <c r="F891" s="104"/>
      <c r="G891" s="105">
        <f>G892+G900+G903</f>
        <v>6170</v>
      </c>
      <c r="H891" s="105">
        <f>H892+H900+H903</f>
        <v>5017.079020000001</v>
      </c>
      <c r="I891" s="127">
        <f t="shared" si="58"/>
        <v>81.314084602917362</v>
      </c>
    </row>
    <row r="892" spans="1:9" s="175" customFormat="1" ht="24" x14ac:dyDescent="0.2">
      <c r="A892" s="134" t="s">
        <v>171</v>
      </c>
      <c r="B892" s="104" t="s">
        <v>135</v>
      </c>
      <c r="C892" s="104" t="s">
        <v>476</v>
      </c>
      <c r="D892" s="104" t="s">
        <v>470</v>
      </c>
      <c r="E892" s="104" t="s">
        <v>138</v>
      </c>
      <c r="F892" s="118"/>
      <c r="G892" s="105">
        <f>G893</f>
        <v>4085</v>
      </c>
      <c r="H892" s="105">
        <f>H893</f>
        <v>4072.1840200000001</v>
      </c>
      <c r="I892" s="127">
        <f t="shared" si="58"/>
        <v>99.68626731946145</v>
      </c>
    </row>
    <row r="893" spans="1:9" s="175" customFormat="1" x14ac:dyDescent="0.2">
      <c r="A893" s="136" t="s">
        <v>471</v>
      </c>
      <c r="B893" s="153">
        <v>612</v>
      </c>
      <c r="C893" s="132" t="s">
        <v>476</v>
      </c>
      <c r="D893" s="132" t="s">
        <v>470</v>
      </c>
      <c r="E893" s="132" t="s">
        <v>663</v>
      </c>
      <c r="F893" s="132"/>
      <c r="G893" s="137">
        <f>G894+G896+G898</f>
        <v>4085</v>
      </c>
      <c r="H893" s="137">
        <f>H894+H896+H898</f>
        <v>4072.1840200000001</v>
      </c>
      <c r="I893" s="204">
        <f t="shared" si="58"/>
        <v>99.68626731946145</v>
      </c>
    </row>
    <row r="894" spans="1:9" s="175" customFormat="1" ht="36" x14ac:dyDescent="0.2">
      <c r="A894" s="112" t="s">
        <v>79</v>
      </c>
      <c r="B894" s="123">
        <v>612</v>
      </c>
      <c r="C894" s="113" t="s">
        <v>476</v>
      </c>
      <c r="D894" s="113" t="s">
        <v>470</v>
      </c>
      <c r="E894" s="113" t="s">
        <v>663</v>
      </c>
      <c r="F894" s="113" t="s">
        <v>80</v>
      </c>
      <c r="G894" s="114">
        <f>G895</f>
        <v>3962.35</v>
      </c>
      <c r="H894" s="114">
        <f>H895</f>
        <v>3962.35</v>
      </c>
      <c r="I894" s="128">
        <f t="shared" si="58"/>
        <v>100</v>
      </c>
    </row>
    <row r="895" spans="1:9" s="175" customFormat="1" x14ac:dyDescent="0.2">
      <c r="A895" s="112" t="s">
        <v>472</v>
      </c>
      <c r="B895" s="123">
        <v>612</v>
      </c>
      <c r="C895" s="113" t="s">
        <v>476</v>
      </c>
      <c r="D895" s="113" t="s">
        <v>470</v>
      </c>
      <c r="E895" s="113" t="s">
        <v>663</v>
      </c>
      <c r="F895" s="113" t="s">
        <v>473</v>
      </c>
      <c r="G895" s="114">
        <f>2920+880+162.35</f>
        <v>3962.35</v>
      </c>
      <c r="H895" s="114">
        <v>3962.35</v>
      </c>
      <c r="I895" s="128">
        <f t="shared" si="58"/>
        <v>100</v>
      </c>
    </row>
    <row r="896" spans="1:9" s="175" customFormat="1" x14ac:dyDescent="0.2">
      <c r="A896" s="112" t="s">
        <v>294</v>
      </c>
      <c r="B896" s="123">
        <v>612</v>
      </c>
      <c r="C896" s="113" t="s">
        <v>476</v>
      </c>
      <c r="D896" s="113" t="s">
        <v>470</v>
      </c>
      <c r="E896" s="113" t="s">
        <v>663</v>
      </c>
      <c r="F896" s="113" t="s">
        <v>84</v>
      </c>
      <c r="G896" s="114">
        <f>G897</f>
        <v>117.65</v>
      </c>
      <c r="H896" s="114">
        <f>H897</f>
        <v>109.83320000000001</v>
      </c>
      <c r="I896" s="128">
        <f t="shared" si="58"/>
        <v>93.355886102847435</v>
      </c>
    </row>
    <row r="897" spans="1:9" s="175" customFormat="1" x14ac:dyDescent="0.2">
      <c r="A897" s="112" t="s">
        <v>85</v>
      </c>
      <c r="B897" s="123">
        <v>612</v>
      </c>
      <c r="C897" s="113" t="s">
        <v>476</v>
      </c>
      <c r="D897" s="113" t="s">
        <v>470</v>
      </c>
      <c r="E897" s="113" t="s">
        <v>663</v>
      </c>
      <c r="F897" s="113" t="s">
        <v>86</v>
      </c>
      <c r="G897" s="114">
        <f>50+80+50-42.14-20.21</f>
        <v>117.65</v>
      </c>
      <c r="H897" s="114">
        <v>109.83320000000001</v>
      </c>
      <c r="I897" s="128">
        <f t="shared" si="58"/>
        <v>93.355886102847435</v>
      </c>
    </row>
    <row r="898" spans="1:9" s="175" customFormat="1" x14ac:dyDescent="0.2">
      <c r="A898" s="112" t="s">
        <v>87</v>
      </c>
      <c r="B898" s="123">
        <v>612</v>
      </c>
      <c r="C898" s="113" t="s">
        <v>476</v>
      </c>
      <c r="D898" s="113" t="s">
        <v>470</v>
      </c>
      <c r="E898" s="113" t="s">
        <v>663</v>
      </c>
      <c r="F898" s="113" t="s">
        <v>88</v>
      </c>
      <c r="G898" s="165">
        <f>G899</f>
        <v>5</v>
      </c>
      <c r="H898" s="165">
        <f>H899</f>
        <v>8.1999999999999998E-4</v>
      </c>
      <c r="I898" s="128">
        <f t="shared" si="58"/>
        <v>1.6400000000000001E-2</v>
      </c>
    </row>
    <row r="899" spans="1:9" s="175" customFormat="1" x14ac:dyDescent="0.2">
      <c r="A899" s="112" t="s">
        <v>154</v>
      </c>
      <c r="B899" s="123">
        <v>612</v>
      </c>
      <c r="C899" s="113" t="s">
        <v>476</v>
      </c>
      <c r="D899" s="113" t="s">
        <v>470</v>
      </c>
      <c r="E899" s="113" t="s">
        <v>663</v>
      </c>
      <c r="F899" s="113" t="s">
        <v>89</v>
      </c>
      <c r="G899" s="165">
        <v>5</v>
      </c>
      <c r="H899" s="165">
        <v>8.1999999999999998E-4</v>
      </c>
      <c r="I899" s="128">
        <f t="shared" si="58"/>
        <v>1.6400000000000001E-2</v>
      </c>
    </row>
    <row r="900" spans="1:9" s="175" customFormat="1" ht="24" x14ac:dyDescent="0.2">
      <c r="A900" s="121" t="s">
        <v>282</v>
      </c>
      <c r="B900" s="118" t="s">
        <v>135</v>
      </c>
      <c r="C900" s="118" t="s">
        <v>476</v>
      </c>
      <c r="D900" s="118" t="s">
        <v>470</v>
      </c>
      <c r="E900" s="118" t="s">
        <v>664</v>
      </c>
      <c r="F900" s="118"/>
      <c r="G900" s="119">
        <f>G901</f>
        <v>1535</v>
      </c>
      <c r="H900" s="119">
        <f>H901</f>
        <v>578.36599999999999</v>
      </c>
      <c r="I900" s="129">
        <f t="shared" si="58"/>
        <v>37.678566775244299</v>
      </c>
    </row>
    <row r="901" spans="1:9" s="175" customFormat="1" x14ac:dyDescent="0.2">
      <c r="A901" s="112" t="s">
        <v>294</v>
      </c>
      <c r="B901" s="123">
        <v>612</v>
      </c>
      <c r="C901" s="113" t="s">
        <v>476</v>
      </c>
      <c r="D901" s="113" t="s">
        <v>470</v>
      </c>
      <c r="E901" s="113" t="s">
        <v>664</v>
      </c>
      <c r="F901" s="113" t="s">
        <v>84</v>
      </c>
      <c r="G901" s="114">
        <f>G902</f>
        <v>1535</v>
      </c>
      <c r="H901" s="114">
        <f>H902</f>
        <v>578.36599999999999</v>
      </c>
      <c r="I901" s="128">
        <f t="shared" si="58"/>
        <v>37.678566775244299</v>
      </c>
    </row>
    <row r="902" spans="1:9" s="175" customFormat="1" x14ac:dyDescent="0.2">
      <c r="A902" s="112" t="s">
        <v>85</v>
      </c>
      <c r="B902" s="123">
        <v>612</v>
      </c>
      <c r="C902" s="113" t="s">
        <v>476</v>
      </c>
      <c r="D902" s="113" t="s">
        <v>470</v>
      </c>
      <c r="E902" s="113" t="s">
        <v>664</v>
      </c>
      <c r="F902" s="113" t="s">
        <v>86</v>
      </c>
      <c r="G902" s="114">
        <f>1310+175+50</f>
        <v>1535</v>
      </c>
      <c r="H902" s="114">
        <v>578.36599999999999</v>
      </c>
      <c r="I902" s="128">
        <f t="shared" si="58"/>
        <v>37.678566775244299</v>
      </c>
    </row>
    <row r="903" spans="1:9" s="175" customFormat="1" ht="36" x14ac:dyDescent="0.2">
      <c r="A903" s="152" t="s">
        <v>442</v>
      </c>
      <c r="B903" s="132" t="s">
        <v>135</v>
      </c>
      <c r="C903" s="132" t="s">
        <v>476</v>
      </c>
      <c r="D903" s="132" t="s">
        <v>470</v>
      </c>
      <c r="E903" s="132" t="s">
        <v>665</v>
      </c>
      <c r="F903" s="132"/>
      <c r="G903" s="137">
        <f>G904+G906</f>
        <v>550</v>
      </c>
      <c r="H903" s="137">
        <f>H904+H906</f>
        <v>366.529</v>
      </c>
      <c r="I903" s="204">
        <f t="shared" si="58"/>
        <v>66.641636363636366</v>
      </c>
    </row>
    <row r="904" spans="1:9" s="175" customFormat="1" x14ac:dyDescent="0.2">
      <c r="A904" s="112" t="s">
        <v>294</v>
      </c>
      <c r="B904" s="123">
        <v>612</v>
      </c>
      <c r="C904" s="113" t="s">
        <v>476</v>
      </c>
      <c r="D904" s="113" t="s">
        <v>470</v>
      </c>
      <c r="E904" s="113" t="s">
        <v>665</v>
      </c>
      <c r="F904" s="113" t="s">
        <v>84</v>
      </c>
      <c r="G904" s="114">
        <f>G905</f>
        <v>360</v>
      </c>
      <c r="H904" s="114">
        <f>H905</f>
        <v>280.59899999999999</v>
      </c>
      <c r="I904" s="128">
        <f t="shared" si="58"/>
        <v>77.944166666666661</v>
      </c>
    </row>
    <row r="905" spans="1:9" s="175" customFormat="1" x14ac:dyDescent="0.2">
      <c r="A905" s="112" t="s">
        <v>85</v>
      </c>
      <c r="B905" s="123">
        <v>612</v>
      </c>
      <c r="C905" s="113" t="s">
        <v>476</v>
      </c>
      <c r="D905" s="113" t="s">
        <v>470</v>
      </c>
      <c r="E905" s="113" t="s">
        <v>665</v>
      </c>
      <c r="F905" s="113" t="s">
        <v>86</v>
      </c>
      <c r="G905" s="114">
        <f>205+25+130</f>
        <v>360</v>
      </c>
      <c r="H905" s="114">
        <v>280.59899999999999</v>
      </c>
      <c r="I905" s="128">
        <f t="shared" si="58"/>
        <v>77.944166666666661</v>
      </c>
    </row>
    <row r="906" spans="1:9" s="175" customFormat="1" x14ac:dyDescent="0.2">
      <c r="A906" s="112" t="s">
        <v>95</v>
      </c>
      <c r="B906" s="123">
        <v>612</v>
      </c>
      <c r="C906" s="113" t="s">
        <v>476</v>
      </c>
      <c r="D906" s="113" t="s">
        <v>470</v>
      </c>
      <c r="E906" s="113" t="s">
        <v>665</v>
      </c>
      <c r="F906" s="113" t="s">
        <v>94</v>
      </c>
      <c r="G906" s="114">
        <f>G907</f>
        <v>190</v>
      </c>
      <c r="H906" s="114">
        <f>H907</f>
        <v>85.93</v>
      </c>
      <c r="I906" s="128">
        <f t="shared" si="58"/>
        <v>45.226315789473688</v>
      </c>
    </row>
    <row r="907" spans="1:9" s="175" customFormat="1" x14ac:dyDescent="0.2">
      <c r="A907" s="112" t="s">
        <v>676</v>
      </c>
      <c r="B907" s="123">
        <v>612</v>
      </c>
      <c r="C907" s="113" t="s">
        <v>476</v>
      </c>
      <c r="D907" s="113" t="s">
        <v>470</v>
      </c>
      <c r="E907" s="113" t="s">
        <v>665</v>
      </c>
      <c r="F907" s="113" t="s">
        <v>656</v>
      </c>
      <c r="G907" s="114">
        <v>190</v>
      </c>
      <c r="H907" s="114">
        <v>85.93</v>
      </c>
      <c r="I907" s="128">
        <f t="shared" si="58"/>
        <v>45.226315789473688</v>
      </c>
    </row>
    <row r="908" spans="1:9" s="175" customFormat="1" ht="36" x14ac:dyDescent="0.2">
      <c r="A908" s="134" t="s">
        <v>675</v>
      </c>
      <c r="B908" s="135">
        <v>612</v>
      </c>
      <c r="C908" s="104" t="s">
        <v>476</v>
      </c>
      <c r="D908" s="104" t="s">
        <v>470</v>
      </c>
      <c r="E908" s="104" t="s">
        <v>170</v>
      </c>
      <c r="F908" s="104"/>
      <c r="G908" s="105">
        <f>G909</f>
        <v>10022</v>
      </c>
      <c r="H908" s="105">
        <f>H909</f>
        <v>9960.2537699999993</v>
      </c>
      <c r="I908" s="127">
        <f t="shared" si="58"/>
        <v>99.383893135102767</v>
      </c>
    </row>
    <row r="909" spans="1:9" s="175" customFormat="1" ht="25.5" x14ac:dyDescent="0.2">
      <c r="A909" s="166" t="s">
        <v>175</v>
      </c>
      <c r="B909" s="135">
        <v>612</v>
      </c>
      <c r="C909" s="104" t="s">
        <v>476</v>
      </c>
      <c r="D909" s="104" t="s">
        <v>470</v>
      </c>
      <c r="E909" s="104" t="s">
        <v>170</v>
      </c>
      <c r="F909" s="104"/>
      <c r="G909" s="105">
        <f>G910</f>
        <v>10022</v>
      </c>
      <c r="H909" s="105">
        <f>H910</f>
        <v>9960.2537699999993</v>
      </c>
      <c r="I909" s="127">
        <f t="shared" si="58"/>
        <v>99.383893135102767</v>
      </c>
    </row>
    <row r="910" spans="1:9" s="175" customFormat="1" ht="24" x14ac:dyDescent="0.2">
      <c r="A910" s="117" t="s">
        <v>393</v>
      </c>
      <c r="B910" s="118" t="s">
        <v>135</v>
      </c>
      <c r="C910" s="118" t="s">
        <v>476</v>
      </c>
      <c r="D910" s="118" t="s">
        <v>470</v>
      </c>
      <c r="E910" s="118" t="s">
        <v>170</v>
      </c>
      <c r="F910" s="118"/>
      <c r="G910" s="119">
        <f>G911+G914</f>
        <v>10022</v>
      </c>
      <c r="H910" s="119">
        <f>H911+H914</f>
        <v>9960.2537699999993</v>
      </c>
      <c r="I910" s="129">
        <f t="shared" si="58"/>
        <v>99.383893135102767</v>
      </c>
    </row>
    <row r="911" spans="1:9" s="175" customFormat="1" x14ac:dyDescent="0.2">
      <c r="A911" s="120" t="s">
        <v>375</v>
      </c>
      <c r="B911" s="104" t="s">
        <v>135</v>
      </c>
      <c r="C911" s="104" t="s">
        <v>476</v>
      </c>
      <c r="D911" s="104" t="s">
        <v>470</v>
      </c>
      <c r="E911" s="104" t="s">
        <v>285</v>
      </c>
      <c r="F911" s="104"/>
      <c r="G911" s="105">
        <f>G912</f>
        <v>9500</v>
      </c>
      <c r="H911" s="105">
        <f>H912</f>
        <v>9438.2537699999993</v>
      </c>
      <c r="I911" s="127">
        <f t="shared" si="58"/>
        <v>99.350039684210529</v>
      </c>
    </row>
    <row r="912" spans="1:9" s="175" customFormat="1" ht="36" x14ac:dyDescent="0.2">
      <c r="A912" s="112" t="s">
        <v>79</v>
      </c>
      <c r="B912" s="113" t="s">
        <v>135</v>
      </c>
      <c r="C912" s="113" t="s">
        <v>476</v>
      </c>
      <c r="D912" s="113" t="s">
        <v>470</v>
      </c>
      <c r="E912" s="113" t="s">
        <v>285</v>
      </c>
      <c r="F912" s="113" t="s">
        <v>80</v>
      </c>
      <c r="G912" s="114">
        <f>G913</f>
        <v>9500</v>
      </c>
      <c r="H912" s="114">
        <f>H913</f>
        <v>9438.2537699999993</v>
      </c>
      <c r="I912" s="128">
        <f t="shared" si="58"/>
        <v>99.350039684210529</v>
      </c>
    </row>
    <row r="913" spans="1:9" s="175" customFormat="1" x14ac:dyDescent="0.2">
      <c r="A913" s="112" t="s">
        <v>81</v>
      </c>
      <c r="B913" s="113" t="s">
        <v>135</v>
      </c>
      <c r="C913" s="113" t="s">
        <v>476</v>
      </c>
      <c r="D913" s="113" t="s">
        <v>470</v>
      </c>
      <c r="E913" s="113" t="s">
        <v>285</v>
      </c>
      <c r="F913" s="113" t="s">
        <v>82</v>
      </c>
      <c r="G913" s="114">
        <f>7300+2200</f>
        <v>9500</v>
      </c>
      <c r="H913" s="114">
        <v>9438.2537699999993</v>
      </c>
      <c r="I913" s="128">
        <f t="shared" si="58"/>
        <v>99.350039684210529</v>
      </c>
    </row>
    <row r="914" spans="1:9" s="175" customFormat="1" x14ac:dyDescent="0.2">
      <c r="A914" s="103" t="s">
        <v>83</v>
      </c>
      <c r="B914" s="104" t="s">
        <v>135</v>
      </c>
      <c r="C914" s="104" t="s">
        <v>476</v>
      </c>
      <c r="D914" s="104" t="s">
        <v>470</v>
      </c>
      <c r="E914" s="104" t="s">
        <v>286</v>
      </c>
      <c r="F914" s="104"/>
      <c r="G914" s="105">
        <f>G915</f>
        <v>522</v>
      </c>
      <c r="H914" s="105">
        <f>H915</f>
        <v>522</v>
      </c>
      <c r="I914" s="127">
        <f t="shared" si="58"/>
        <v>100</v>
      </c>
    </row>
    <row r="915" spans="1:9" s="175" customFormat="1" x14ac:dyDescent="0.2">
      <c r="A915" s="112" t="s">
        <v>294</v>
      </c>
      <c r="B915" s="113" t="s">
        <v>135</v>
      </c>
      <c r="C915" s="113" t="s">
        <v>476</v>
      </c>
      <c r="D915" s="113" t="s">
        <v>470</v>
      </c>
      <c r="E915" s="113" t="s">
        <v>286</v>
      </c>
      <c r="F915" s="113" t="s">
        <v>84</v>
      </c>
      <c r="G915" s="114">
        <f>G916</f>
        <v>522</v>
      </c>
      <c r="H915" s="114">
        <f>H916</f>
        <v>522</v>
      </c>
      <c r="I915" s="128">
        <f t="shared" ref="I915:I980" si="61">H915/G915*100</f>
        <v>100</v>
      </c>
    </row>
    <row r="916" spans="1:9" s="175" customFormat="1" x14ac:dyDescent="0.2">
      <c r="A916" s="112" t="s">
        <v>85</v>
      </c>
      <c r="B916" s="113" t="s">
        <v>135</v>
      </c>
      <c r="C916" s="113" t="s">
        <v>476</v>
      </c>
      <c r="D916" s="113" t="s">
        <v>470</v>
      </c>
      <c r="E916" s="113" t="s">
        <v>286</v>
      </c>
      <c r="F916" s="113" t="s">
        <v>86</v>
      </c>
      <c r="G916" s="114">
        <f>252+15+80+160+15</f>
        <v>522</v>
      </c>
      <c r="H916" s="114">
        <v>522</v>
      </c>
      <c r="I916" s="128">
        <f t="shared" si="61"/>
        <v>100</v>
      </c>
    </row>
    <row r="917" spans="1:9" s="175" customFormat="1" x14ac:dyDescent="0.2">
      <c r="A917" s="138" t="s">
        <v>74</v>
      </c>
      <c r="B917" s="118" t="s">
        <v>135</v>
      </c>
      <c r="C917" s="118" t="s">
        <v>476</v>
      </c>
      <c r="D917" s="118" t="s">
        <v>470</v>
      </c>
      <c r="E917" s="118" t="s">
        <v>209</v>
      </c>
      <c r="F917" s="118"/>
      <c r="G917" s="119">
        <f t="shared" ref="G917:H920" si="62">G918</f>
        <v>309.18230999999997</v>
      </c>
      <c r="H917" s="119">
        <f t="shared" si="62"/>
        <v>309.18230999999997</v>
      </c>
      <c r="I917" s="129">
        <f t="shared" si="61"/>
        <v>100</v>
      </c>
    </row>
    <row r="918" spans="1:9" s="175" customFormat="1" x14ac:dyDescent="0.2">
      <c r="A918" s="120" t="s">
        <v>297</v>
      </c>
      <c r="B918" s="104" t="s">
        <v>135</v>
      </c>
      <c r="C918" s="104" t="s">
        <v>476</v>
      </c>
      <c r="D918" s="104" t="s">
        <v>470</v>
      </c>
      <c r="E918" s="104" t="s">
        <v>210</v>
      </c>
      <c r="F918" s="104"/>
      <c r="G918" s="105">
        <f t="shared" si="62"/>
        <v>309.18230999999997</v>
      </c>
      <c r="H918" s="105">
        <f t="shared" si="62"/>
        <v>309.18230999999997</v>
      </c>
      <c r="I918" s="127">
        <f>H918/G918*100</f>
        <v>100</v>
      </c>
    </row>
    <row r="919" spans="1:9" s="175" customFormat="1" ht="24" x14ac:dyDescent="0.2">
      <c r="A919" s="117" t="s">
        <v>768</v>
      </c>
      <c r="B919" s="118" t="s">
        <v>135</v>
      </c>
      <c r="C919" s="118" t="s">
        <v>476</v>
      </c>
      <c r="D919" s="118" t="s">
        <v>470</v>
      </c>
      <c r="E919" s="118" t="s">
        <v>769</v>
      </c>
      <c r="F919" s="118"/>
      <c r="G919" s="119">
        <f t="shared" si="62"/>
        <v>309.18230999999997</v>
      </c>
      <c r="H919" s="119">
        <f t="shared" si="62"/>
        <v>309.18230999999997</v>
      </c>
      <c r="I919" s="119">
        <f t="shared" si="61"/>
        <v>100</v>
      </c>
    </row>
    <row r="920" spans="1:9" s="175" customFormat="1" ht="36" x14ac:dyDescent="0.2">
      <c r="A920" s="112" t="s">
        <v>79</v>
      </c>
      <c r="B920" s="113" t="s">
        <v>135</v>
      </c>
      <c r="C920" s="113" t="s">
        <v>476</v>
      </c>
      <c r="D920" s="113" t="s">
        <v>470</v>
      </c>
      <c r="E920" s="113" t="s">
        <v>769</v>
      </c>
      <c r="F920" s="113" t="s">
        <v>80</v>
      </c>
      <c r="G920" s="114">
        <f t="shared" si="62"/>
        <v>309.18230999999997</v>
      </c>
      <c r="H920" s="114">
        <f t="shared" si="62"/>
        <v>309.18230999999997</v>
      </c>
      <c r="I920" s="114">
        <f t="shared" si="61"/>
        <v>100</v>
      </c>
    </row>
    <row r="921" spans="1:9" s="175" customFormat="1" x14ac:dyDescent="0.2">
      <c r="A921" s="112" t="s">
        <v>81</v>
      </c>
      <c r="B921" s="113" t="s">
        <v>135</v>
      </c>
      <c r="C921" s="113" t="s">
        <v>476</v>
      </c>
      <c r="D921" s="113" t="s">
        <v>470</v>
      </c>
      <c r="E921" s="113" t="s">
        <v>769</v>
      </c>
      <c r="F921" s="113" t="s">
        <v>82</v>
      </c>
      <c r="G921" s="114">
        <v>309.18230999999997</v>
      </c>
      <c r="H921" s="114">
        <v>309.18230999999997</v>
      </c>
      <c r="I921" s="114">
        <f t="shared" si="61"/>
        <v>100</v>
      </c>
    </row>
    <row r="922" spans="1:9" s="175" customFormat="1" x14ac:dyDescent="0.2">
      <c r="A922" s="103" t="s">
        <v>389</v>
      </c>
      <c r="B922" s="104" t="s">
        <v>135</v>
      </c>
      <c r="C922" s="104" t="s">
        <v>501</v>
      </c>
      <c r="D922" s="104" t="s">
        <v>77</v>
      </c>
      <c r="E922" s="104"/>
      <c r="F922" s="104"/>
      <c r="G922" s="105">
        <f>G923+G929</f>
        <v>11972.170000000002</v>
      </c>
      <c r="H922" s="105">
        <f>H923+H929</f>
        <v>11923.753909999999</v>
      </c>
      <c r="I922" s="127">
        <f t="shared" si="61"/>
        <v>99.595594700041829</v>
      </c>
    </row>
    <row r="923" spans="1:9" s="175" customFormat="1" x14ac:dyDescent="0.2">
      <c r="A923" s="103" t="s">
        <v>377</v>
      </c>
      <c r="B923" s="104" t="s">
        <v>135</v>
      </c>
      <c r="C923" s="104" t="s">
        <v>501</v>
      </c>
      <c r="D923" s="104" t="s">
        <v>469</v>
      </c>
      <c r="E923" s="104"/>
      <c r="F923" s="104"/>
      <c r="G923" s="105">
        <f t="shared" ref="G923:H927" si="63">G924</f>
        <v>640</v>
      </c>
      <c r="H923" s="105">
        <f t="shared" si="63"/>
        <v>640</v>
      </c>
      <c r="I923" s="127">
        <f t="shared" si="61"/>
        <v>100</v>
      </c>
    </row>
    <row r="924" spans="1:9" s="175" customFormat="1" ht="27" x14ac:dyDescent="0.2">
      <c r="A924" s="116" t="s">
        <v>667</v>
      </c>
      <c r="B924" s="107" t="s">
        <v>135</v>
      </c>
      <c r="C924" s="107" t="s">
        <v>501</v>
      </c>
      <c r="D924" s="107" t="s">
        <v>469</v>
      </c>
      <c r="E924" s="107" t="s">
        <v>160</v>
      </c>
      <c r="F924" s="107"/>
      <c r="G924" s="108">
        <f t="shared" si="63"/>
        <v>640</v>
      </c>
      <c r="H924" s="108">
        <f t="shared" si="63"/>
        <v>640</v>
      </c>
      <c r="I924" s="155">
        <f t="shared" si="61"/>
        <v>100</v>
      </c>
    </row>
    <row r="925" spans="1:9" s="175" customFormat="1" x14ac:dyDescent="0.2">
      <c r="A925" s="103" t="s">
        <v>283</v>
      </c>
      <c r="B925" s="104" t="s">
        <v>135</v>
      </c>
      <c r="C925" s="104" t="s">
        <v>501</v>
      </c>
      <c r="D925" s="104" t="s">
        <v>469</v>
      </c>
      <c r="E925" s="104" t="s">
        <v>169</v>
      </c>
      <c r="F925" s="104"/>
      <c r="G925" s="105">
        <f t="shared" si="63"/>
        <v>640</v>
      </c>
      <c r="H925" s="105">
        <f t="shared" si="63"/>
        <v>640</v>
      </c>
      <c r="I925" s="127">
        <f t="shared" si="61"/>
        <v>100</v>
      </c>
    </row>
    <row r="926" spans="1:9" s="175" customFormat="1" ht="24" x14ac:dyDescent="0.2">
      <c r="A926" s="152" t="s">
        <v>176</v>
      </c>
      <c r="B926" s="132" t="s">
        <v>135</v>
      </c>
      <c r="C926" s="132" t="s">
        <v>501</v>
      </c>
      <c r="D926" s="132" t="s">
        <v>469</v>
      </c>
      <c r="E926" s="132" t="s">
        <v>666</v>
      </c>
      <c r="F926" s="132"/>
      <c r="G926" s="137">
        <f t="shared" si="63"/>
        <v>640</v>
      </c>
      <c r="H926" s="137">
        <f t="shared" si="63"/>
        <v>640</v>
      </c>
      <c r="I926" s="204">
        <f t="shared" si="61"/>
        <v>100</v>
      </c>
    </row>
    <row r="927" spans="1:9" s="175" customFormat="1" x14ac:dyDescent="0.2">
      <c r="A927" s="112" t="s">
        <v>95</v>
      </c>
      <c r="B927" s="123">
        <v>612</v>
      </c>
      <c r="C927" s="113" t="s">
        <v>501</v>
      </c>
      <c r="D927" s="113" t="s">
        <v>469</v>
      </c>
      <c r="E927" s="113" t="s">
        <v>666</v>
      </c>
      <c r="F927" s="113" t="s">
        <v>94</v>
      </c>
      <c r="G927" s="114">
        <f t="shared" si="63"/>
        <v>640</v>
      </c>
      <c r="H927" s="114">
        <f t="shared" si="63"/>
        <v>640</v>
      </c>
      <c r="I927" s="128">
        <f t="shared" si="61"/>
        <v>100</v>
      </c>
    </row>
    <row r="928" spans="1:9" s="175" customFormat="1" x14ac:dyDescent="0.2">
      <c r="A928" s="112" t="s">
        <v>96</v>
      </c>
      <c r="B928" s="123">
        <v>612</v>
      </c>
      <c r="C928" s="113" t="s">
        <v>501</v>
      </c>
      <c r="D928" s="113" t="s">
        <v>469</v>
      </c>
      <c r="E928" s="113" t="s">
        <v>666</v>
      </c>
      <c r="F928" s="113" t="s">
        <v>97</v>
      </c>
      <c r="G928" s="114">
        <v>640</v>
      </c>
      <c r="H928" s="114">
        <v>640</v>
      </c>
      <c r="I928" s="128">
        <f t="shared" si="61"/>
        <v>100</v>
      </c>
    </row>
    <row r="929" spans="1:9" s="175" customFormat="1" x14ac:dyDescent="0.2">
      <c r="A929" s="103" t="s">
        <v>378</v>
      </c>
      <c r="B929" s="104" t="s">
        <v>135</v>
      </c>
      <c r="C929" s="104" t="s">
        <v>501</v>
      </c>
      <c r="D929" s="104" t="s">
        <v>78</v>
      </c>
      <c r="E929" s="104"/>
      <c r="F929" s="104"/>
      <c r="G929" s="105">
        <f t="shared" ref="G929:H933" si="64">G930</f>
        <v>11332.170000000002</v>
      </c>
      <c r="H929" s="105">
        <f t="shared" si="64"/>
        <v>11283.753909999999</v>
      </c>
      <c r="I929" s="127">
        <f t="shared" si="61"/>
        <v>99.57275535047566</v>
      </c>
    </row>
    <row r="930" spans="1:9" s="175" customFormat="1" ht="27" x14ac:dyDescent="0.2">
      <c r="A930" s="116" t="s">
        <v>667</v>
      </c>
      <c r="B930" s="107" t="s">
        <v>135</v>
      </c>
      <c r="C930" s="107" t="s">
        <v>501</v>
      </c>
      <c r="D930" s="107" t="s">
        <v>78</v>
      </c>
      <c r="E930" s="107" t="s">
        <v>160</v>
      </c>
      <c r="F930" s="118"/>
      <c r="G930" s="108">
        <f t="shared" si="64"/>
        <v>11332.170000000002</v>
      </c>
      <c r="H930" s="108">
        <f t="shared" si="64"/>
        <v>11283.753909999999</v>
      </c>
      <c r="I930" s="155">
        <f t="shared" si="61"/>
        <v>99.57275535047566</v>
      </c>
    </row>
    <row r="931" spans="1:9" s="175" customFormat="1" x14ac:dyDescent="0.2">
      <c r="A931" s="103" t="s">
        <v>283</v>
      </c>
      <c r="B931" s="104" t="s">
        <v>135</v>
      </c>
      <c r="C931" s="104" t="s">
        <v>501</v>
      </c>
      <c r="D931" s="104" t="s">
        <v>78</v>
      </c>
      <c r="E931" s="104" t="s">
        <v>169</v>
      </c>
      <c r="F931" s="104"/>
      <c r="G931" s="105">
        <f t="shared" si="64"/>
        <v>11332.170000000002</v>
      </c>
      <c r="H931" s="105">
        <f t="shared" si="64"/>
        <v>11283.753909999999</v>
      </c>
      <c r="I931" s="127">
        <f t="shared" si="61"/>
        <v>99.57275535047566</v>
      </c>
    </row>
    <row r="932" spans="1:9" s="175" customFormat="1" ht="48" x14ac:dyDescent="0.2">
      <c r="A932" s="167" t="s">
        <v>498</v>
      </c>
      <c r="B932" s="132" t="s">
        <v>135</v>
      </c>
      <c r="C932" s="132" t="s">
        <v>501</v>
      </c>
      <c r="D932" s="132" t="s">
        <v>78</v>
      </c>
      <c r="E932" s="132" t="s">
        <v>284</v>
      </c>
      <c r="F932" s="132"/>
      <c r="G932" s="137">
        <f t="shared" si="64"/>
        <v>11332.170000000002</v>
      </c>
      <c r="H932" s="137">
        <f t="shared" si="64"/>
        <v>11283.753909999999</v>
      </c>
      <c r="I932" s="204">
        <f t="shared" si="61"/>
        <v>99.57275535047566</v>
      </c>
    </row>
    <row r="933" spans="1:9" s="175" customFormat="1" x14ac:dyDescent="0.2">
      <c r="A933" s="112" t="s">
        <v>95</v>
      </c>
      <c r="B933" s="113" t="s">
        <v>135</v>
      </c>
      <c r="C933" s="113" t="s">
        <v>501</v>
      </c>
      <c r="D933" s="113" t="s">
        <v>78</v>
      </c>
      <c r="E933" s="113" t="s">
        <v>284</v>
      </c>
      <c r="F933" s="113" t="s">
        <v>94</v>
      </c>
      <c r="G933" s="114">
        <f t="shared" si="64"/>
        <v>11332.170000000002</v>
      </c>
      <c r="H933" s="114">
        <f t="shared" si="64"/>
        <v>11283.753909999999</v>
      </c>
      <c r="I933" s="128">
        <f t="shared" si="61"/>
        <v>99.57275535047566</v>
      </c>
    </row>
    <row r="934" spans="1:9" s="175" customFormat="1" x14ac:dyDescent="0.2">
      <c r="A934" s="112" t="s">
        <v>155</v>
      </c>
      <c r="B934" s="113" t="s">
        <v>135</v>
      </c>
      <c r="C934" s="113" t="s">
        <v>501</v>
      </c>
      <c r="D934" s="113" t="s">
        <v>78</v>
      </c>
      <c r="E934" s="113" t="s">
        <v>284</v>
      </c>
      <c r="F934" s="113" t="s">
        <v>504</v>
      </c>
      <c r="G934" s="114">
        <f>19000-2351.39-5316.44</f>
        <v>11332.170000000002</v>
      </c>
      <c r="H934" s="114">
        <v>11283.753909999999</v>
      </c>
      <c r="I934" s="128">
        <f t="shared" si="61"/>
        <v>99.57275535047566</v>
      </c>
    </row>
    <row r="935" spans="1:9" s="175" customFormat="1" ht="15.75" x14ac:dyDescent="0.2">
      <c r="A935" s="106" t="s">
        <v>449</v>
      </c>
      <c r="B935" s="109" t="s">
        <v>450</v>
      </c>
      <c r="C935" s="109"/>
      <c r="D935" s="109"/>
      <c r="E935" s="109"/>
      <c r="F935" s="109"/>
      <c r="G935" s="111">
        <f>G936</f>
        <v>30037</v>
      </c>
      <c r="H935" s="111">
        <f>H936</f>
        <v>29132.22337</v>
      </c>
      <c r="I935" s="198">
        <f t="shared" si="61"/>
        <v>96.987792955355062</v>
      </c>
    </row>
    <row r="936" spans="1:9" s="175" customFormat="1" x14ac:dyDescent="0.2">
      <c r="A936" s="103" t="s">
        <v>114</v>
      </c>
      <c r="B936" s="104" t="s">
        <v>450</v>
      </c>
      <c r="C936" s="104" t="s">
        <v>76</v>
      </c>
      <c r="D936" s="104" t="s">
        <v>77</v>
      </c>
      <c r="E936" s="104"/>
      <c r="F936" s="104"/>
      <c r="G936" s="105">
        <f>G937+G947+G958</f>
        <v>30037</v>
      </c>
      <c r="H936" s="105">
        <f>H937+H947+H958</f>
        <v>29132.22337</v>
      </c>
      <c r="I936" s="127">
        <f t="shared" si="61"/>
        <v>96.987792955355062</v>
      </c>
    </row>
    <row r="937" spans="1:9" s="175" customFormat="1" ht="24" x14ac:dyDescent="0.2">
      <c r="A937" s="103" t="s">
        <v>451</v>
      </c>
      <c r="B937" s="104" t="s">
        <v>450</v>
      </c>
      <c r="C937" s="104" t="s">
        <v>76</v>
      </c>
      <c r="D937" s="104" t="s">
        <v>477</v>
      </c>
      <c r="E937" s="104"/>
      <c r="F937" s="104"/>
      <c r="G937" s="105">
        <f>G938+G944</f>
        <v>2140.3000000000002</v>
      </c>
      <c r="H937" s="105">
        <f>H938+H944</f>
        <v>1937.25389</v>
      </c>
      <c r="I937" s="127">
        <f t="shared" si="61"/>
        <v>90.513193944774088</v>
      </c>
    </row>
    <row r="938" spans="1:9" s="175" customFormat="1" x14ac:dyDescent="0.2">
      <c r="A938" s="117" t="s">
        <v>34</v>
      </c>
      <c r="B938" s="118" t="s">
        <v>450</v>
      </c>
      <c r="C938" s="118" t="s">
        <v>76</v>
      </c>
      <c r="D938" s="118" t="s">
        <v>477</v>
      </c>
      <c r="E938" s="118" t="s">
        <v>215</v>
      </c>
      <c r="F938" s="118"/>
      <c r="G938" s="119">
        <f t="shared" ref="G938:H942" si="65">G939</f>
        <v>1945</v>
      </c>
      <c r="H938" s="119">
        <f t="shared" si="65"/>
        <v>1741.95389</v>
      </c>
      <c r="I938" s="129">
        <f t="shared" si="61"/>
        <v>89.560611311053989</v>
      </c>
    </row>
    <row r="939" spans="1:9" s="175" customFormat="1" x14ac:dyDescent="0.2">
      <c r="A939" s="103" t="s">
        <v>108</v>
      </c>
      <c r="B939" s="104" t="s">
        <v>450</v>
      </c>
      <c r="C939" s="104" t="s">
        <v>76</v>
      </c>
      <c r="D939" s="104" t="s">
        <v>477</v>
      </c>
      <c r="E939" s="104" t="s">
        <v>216</v>
      </c>
      <c r="F939" s="104"/>
      <c r="G939" s="105">
        <f t="shared" si="65"/>
        <v>1945</v>
      </c>
      <c r="H939" s="105">
        <f t="shared" si="65"/>
        <v>1741.95389</v>
      </c>
      <c r="I939" s="127">
        <f t="shared" si="61"/>
        <v>89.560611311053989</v>
      </c>
    </row>
    <row r="940" spans="1:9" s="175" customFormat="1" x14ac:dyDescent="0.2">
      <c r="A940" s="136" t="s">
        <v>303</v>
      </c>
      <c r="B940" s="132" t="s">
        <v>450</v>
      </c>
      <c r="C940" s="132" t="s">
        <v>76</v>
      </c>
      <c r="D940" s="132" t="s">
        <v>477</v>
      </c>
      <c r="E940" s="132" t="s">
        <v>217</v>
      </c>
      <c r="F940" s="113"/>
      <c r="G940" s="137">
        <f t="shared" si="65"/>
        <v>1945</v>
      </c>
      <c r="H940" s="137">
        <f t="shared" si="65"/>
        <v>1741.95389</v>
      </c>
      <c r="I940" s="204">
        <f t="shared" si="61"/>
        <v>89.560611311053989</v>
      </c>
    </row>
    <row r="941" spans="1:9" s="175" customFormat="1" x14ac:dyDescent="0.2">
      <c r="A941" s="168" t="s">
        <v>30</v>
      </c>
      <c r="B941" s="169" t="s">
        <v>450</v>
      </c>
      <c r="C941" s="169" t="s">
        <v>76</v>
      </c>
      <c r="D941" s="169" t="s">
        <v>477</v>
      </c>
      <c r="E941" s="169" t="s">
        <v>218</v>
      </c>
      <c r="F941" s="170"/>
      <c r="G941" s="105">
        <f t="shared" si="65"/>
        <v>1945</v>
      </c>
      <c r="H941" s="105">
        <f t="shared" si="65"/>
        <v>1741.95389</v>
      </c>
      <c r="I941" s="127">
        <f t="shared" si="61"/>
        <v>89.560611311053989</v>
      </c>
    </row>
    <row r="942" spans="1:9" s="175" customFormat="1" ht="36" x14ac:dyDescent="0.2">
      <c r="A942" s="112" t="s">
        <v>79</v>
      </c>
      <c r="B942" s="113" t="s">
        <v>450</v>
      </c>
      <c r="C942" s="113" t="s">
        <v>76</v>
      </c>
      <c r="D942" s="113" t="s">
        <v>477</v>
      </c>
      <c r="E942" s="113" t="s">
        <v>219</v>
      </c>
      <c r="F942" s="113" t="s">
        <v>80</v>
      </c>
      <c r="G942" s="114">
        <f t="shared" si="65"/>
        <v>1945</v>
      </c>
      <c r="H942" s="114">
        <f t="shared" si="65"/>
        <v>1741.95389</v>
      </c>
      <c r="I942" s="128">
        <f t="shared" si="61"/>
        <v>89.560611311053989</v>
      </c>
    </row>
    <row r="943" spans="1:9" s="175" customFormat="1" x14ac:dyDescent="0.2">
      <c r="A943" s="112" t="s">
        <v>81</v>
      </c>
      <c r="B943" s="113" t="s">
        <v>450</v>
      </c>
      <c r="C943" s="113" t="s">
        <v>76</v>
      </c>
      <c r="D943" s="113" t="s">
        <v>477</v>
      </c>
      <c r="E943" s="113" t="s">
        <v>219</v>
      </c>
      <c r="F943" s="113" t="s">
        <v>82</v>
      </c>
      <c r="G943" s="114">
        <f>2000-55</f>
        <v>1945</v>
      </c>
      <c r="H943" s="114">
        <v>1741.95389</v>
      </c>
      <c r="I943" s="128">
        <f t="shared" si="61"/>
        <v>89.560611311053989</v>
      </c>
    </row>
    <row r="944" spans="1:9" s="175" customFormat="1" ht="24" x14ac:dyDescent="0.2">
      <c r="A944" s="117" t="s">
        <v>768</v>
      </c>
      <c r="B944" s="118" t="s">
        <v>450</v>
      </c>
      <c r="C944" s="118" t="s">
        <v>76</v>
      </c>
      <c r="D944" s="118" t="s">
        <v>477</v>
      </c>
      <c r="E944" s="118" t="s">
        <v>769</v>
      </c>
      <c r="F944" s="118"/>
      <c r="G944" s="119">
        <f>G945</f>
        <v>195.3</v>
      </c>
      <c r="H944" s="119">
        <f>H945</f>
        <v>195.3</v>
      </c>
      <c r="I944" s="119">
        <f t="shared" si="61"/>
        <v>100</v>
      </c>
    </row>
    <row r="945" spans="1:9" s="175" customFormat="1" ht="36" x14ac:dyDescent="0.2">
      <c r="A945" s="112" t="s">
        <v>79</v>
      </c>
      <c r="B945" s="113" t="s">
        <v>450</v>
      </c>
      <c r="C945" s="113" t="s">
        <v>76</v>
      </c>
      <c r="D945" s="113" t="s">
        <v>477</v>
      </c>
      <c r="E945" s="113" t="s">
        <v>769</v>
      </c>
      <c r="F945" s="113" t="s">
        <v>80</v>
      </c>
      <c r="G945" s="114">
        <f>G946</f>
        <v>195.3</v>
      </c>
      <c r="H945" s="114">
        <f>H946</f>
        <v>195.3</v>
      </c>
      <c r="I945" s="114">
        <f t="shared" si="61"/>
        <v>100</v>
      </c>
    </row>
    <row r="946" spans="1:9" s="175" customFormat="1" x14ac:dyDescent="0.2">
      <c r="A946" s="112" t="s">
        <v>81</v>
      </c>
      <c r="B946" s="113" t="s">
        <v>450</v>
      </c>
      <c r="C946" s="113" t="s">
        <v>76</v>
      </c>
      <c r="D946" s="113" t="s">
        <v>477</v>
      </c>
      <c r="E946" s="113" t="s">
        <v>769</v>
      </c>
      <c r="F946" s="113" t="s">
        <v>82</v>
      </c>
      <c r="G946" s="114">
        <v>195.3</v>
      </c>
      <c r="H946" s="114">
        <v>195.3</v>
      </c>
      <c r="I946" s="114">
        <f t="shared" si="61"/>
        <v>100</v>
      </c>
    </row>
    <row r="947" spans="1:9" s="175" customFormat="1" ht="24" x14ac:dyDescent="0.2">
      <c r="A947" s="103" t="s">
        <v>304</v>
      </c>
      <c r="B947" s="104" t="s">
        <v>450</v>
      </c>
      <c r="C947" s="104" t="s">
        <v>76</v>
      </c>
      <c r="D947" s="104" t="s">
        <v>469</v>
      </c>
      <c r="E947" s="104"/>
      <c r="F947" s="104"/>
      <c r="G947" s="105">
        <f>G948</f>
        <v>25602.7</v>
      </c>
      <c r="H947" s="105">
        <f>H948</f>
        <v>25008.12428</v>
      </c>
      <c r="I947" s="127">
        <f t="shared" si="61"/>
        <v>97.677683525565655</v>
      </c>
    </row>
    <row r="948" spans="1:9" s="175" customFormat="1" ht="24" x14ac:dyDescent="0.2">
      <c r="A948" s="117" t="s">
        <v>29</v>
      </c>
      <c r="B948" s="118" t="s">
        <v>450</v>
      </c>
      <c r="C948" s="118" t="s">
        <v>76</v>
      </c>
      <c r="D948" s="118" t="s">
        <v>469</v>
      </c>
      <c r="E948" s="144" t="s">
        <v>220</v>
      </c>
      <c r="F948" s="140"/>
      <c r="G948" s="119">
        <f>G949</f>
        <v>25602.7</v>
      </c>
      <c r="H948" s="119">
        <f>H949</f>
        <v>25008.12428</v>
      </c>
      <c r="I948" s="129">
        <f t="shared" si="61"/>
        <v>97.677683525565655</v>
      </c>
    </row>
    <row r="949" spans="1:9" s="175" customFormat="1" x14ac:dyDescent="0.2">
      <c r="A949" s="103" t="s">
        <v>108</v>
      </c>
      <c r="B949" s="104" t="s">
        <v>450</v>
      </c>
      <c r="C949" s="104" t="s">
        <v>76</v>
      </c>
      <c r="D949" s="104" t="s">
        <v>469</v>
      </c>
      <c r="E949" s="171" t="s">
        <v>137</v>
      </c>
      <c r="F949" s="143"/>
      <c r="G949" s="105">
        <f>G950+G953</f>
        <v>25602.7</v>
      </c>
      <c r="H949" s="105">
        <f>H950+H953</f>
        <v>25008.12428</v>
      </c>
      <c r="I949" s="127">
        <f t="shared" si="61"/>
        <v>97.677683525565655</v>
      </c>
    </row>
    <row r="950" spans="1:9" s="175" customFormat="1" x14ac:dyDescent="0.2">
      <c r="A950" s="168" t="s">
        <v>30</v>
      </c>
      <c r="B950" s="169" t="s">
        <v>450</v>
      </c>
      <c r="C950" s="169" t="s">
        <v>76</v>
      </c>
      <c r="D950" s="169" t="s">
        <v>469</v>
      </c>
      <c r="E950" s="169" t="s">
        <v>224</v>
      </c>
      <c r="F950" s="170"/>
      <c r="G950" s="105">
        <f>G951</f>
        <v>19817</v>
      </c>
      <c r="H950" s="105">
        <f>H951</f>
        <v>19615.029340000001</v>
      </c>
      <c r="I950" s="127">
        <f t="shared" si="61"/>
        <v>98.980821214109099</v>
      </c>
    </row>
    <row r="951" spans="1:9" s="175" customFormat="1" ht="36" x14ac:dyDescent="0.2">
      <c r="A951" s="112" t="s">
        <v>79</v>
      </c>
      <c r="B951" s="113" t="s">
        <v>450</v>
      </c>
      <c r="C951" s="113" t="s">
        <v>76</v>
      </c>
      <c r="D951" s="113" t="s">
        <v>469</v>
      </c>
      <c r="E951" s="113" t="s">
        <v>224</v>
      </c>
      <c r="F951" s="113" t="s">
        <v>80</v>
      </c>
      <c r="G951" s="114">
        <f>G952</f>
        <v>19817</v>
      </c>
      <c r="H951" s="114">
        <f>H952</f>
        <v>19615.029340000001</v>
      </c>
      <c r="I951" s="128">
        <f t="shared" si="61"/>
        <v>98.980821214109099</v>
      </c>
    </row>
    <row r="952" spans="1:9" s="175" customFormat="1" x14ac:dyDescent="0.2">
      <c r="A952" s="112" t="s">
        <v>81</v>
      </c>
      <c r="B952" s="113" t="s">
        <v>450</v>
      </c>
      <c r="C952" s="113" t="s">
        <v>76</v>
      </c>
      <c r="D952" s="113" t="s">
        <v>469</v>
      </c>
      <c r="E952" s="113" t="s">
        <v>224</v>
      </c>
      <c r="F952" s="113" t="s">
        <v>82</v>
      </c>
      <c r="G952" s="114">
        <f>14550+50+4380+62+720+55</f>
        <v>19817</v>
      </c>
      <c r="H952" s="114">
        <v>19615.029340000001</v>
      </c>
      <c r="I952" s="128">
        <f t="shared" si="61"/>
        <v>98.980821214109099</v>
      </c>
    </row>
    <row r="953" spans="1:9" s="175" customFormat="1" x14ac:dyDescent="0.2">
      <c r="A953" s="103" t="s">
        <v>142</v>
      </c>
      <c r="B953" s="104" t="s">
        <v>450</v>
      </c>
      <c r="C953" s="104" t="s">
        <v>76</v>
      </c>
      <c r="D953" s="104" t="s">
        <v>469</v>
      </c>
      <c r="E953" s="104" t="s">
        <v>225</v>
      </c>
      <c r="F953" s="113"/>
      <c r="G953" s="105">
        <f>G954+G956</f>
        <v>5785.7</v>
      </c>
      <c r="H953" s="105">
        <f>H954+H956</f>
        <v>5393.09494</v>
      </c>
      <c r="I953" s="127">
        <f t="shared" si="61"/>
        <v>93.214216775843894</v>
      </c>
    </row>
    <row r="954" spans="1:9" s="175" customFormat="1" x14ac:dyDescent="0.2">
      <c r="A954" s="112" t="s">
        <v>294</v>
      </c>
      <c r="B954" s="113" t="s">
        <v>450</v>
      </c>
      <c r="C954" s="113" t="s">
        <v>76</v>
      </c>
      <c r="D954" s="113" t="s">
        <v>469</v>
      </c>
      <c r="E954" s="113" t="s">
        <v>225</v>
      </c>
      <c r="F954" s="113" t="s">
        <v>84</v>
      </c>
      <c r="G954" s="114">
        <f>G955</f>
        <v>5760.7</v>
      </c>
      <c r="H954" s="114">
        <f>H955</f>
        <v>5381.9849400000003</v>
      </c>
      <c r="I954" s="128">
        <f t="shared" si="61"/>
        <v>93.425884701511976</v>
      </c>
    </row>
    <row r="955" spans="1:9" s="175" customFormat="1" x14ac:dyDescent="0.2">
      <c r="A955" s="112" t="s">
        <v>85</v>
      </c>
      <c r="B955" s="113" t="s">
        <v>450</v>
      </c>
      <c r="C955" s="113" t="s">
        <v>76</v>
      </c>
      <c r="D955" s="113" t="s">
        <v>469</v>
      </c>
      <c r="E955" s="113" t="s">
        <v>225</v>
      </c>
      <c r="F955" s="113" t="s">
        <v>86</v>
      </c>
      <c r="G955" s="114">
        <f>800+200+390+25+1950+1640+515.7+240</f>
        <v>5760.7</v>
      </c>
      <c r="H955" s="114">
        <v>5381.9849400000003</v>
      </c>
      <c r="I955" s="128">
        <f t="shared" si="61"/>
        <v>93.425884701511976</v>
      </c>
    </row>
    <row r="956" spans="1:9" s="175" customFormat="1" x14ac:dyDescent="0.2">
      <c r="A956" s="112" t="s">
        <v>87</v>
      </c>
      <c r="B956" s="113" t="s">
        <v>450</v>
      </c>
      <c r="C956" s="113" t="s">
        <v>76</v>
      </c>
      <c r="D956" s="113" t="s">
        <v>469</v>
      </c>
      <c r="E956" s="113" t="s">
        <v>225</v>
      </c>
      <c r="F956" s="113" t="s">
        <v>88</v>
      </c>
      <c r="G956" s="114">
        <f>G957</f>
        <v>25</v>
      </c>
      <c r="H956" s="114">
        <f>H957</f>
        <v>11.11</v>
      </c>
      <c r="I956" s="128">
        <f t="shared" si="61"/>
        <v>44.44</v>
      </c>
    </row>
    <row r="957" spans="1:9" s="175" customFormat="1" x14ac:dyDescent="0.2">
      <c r="A957" s="112" t="s">
        <v>500</v>
      </c>
      <c r="B957" s="113" t="s">
        <v>450</v>
      </c>
      <c r="C957" s="113" t="s">
        <v>76</v>
      </c>
      <c r="D957" s="113" t="s">
        <v>469</v>
      </c>
      <c r="E957" s="113" t="s">
        <v>225</v>
      </c>
      <c r="F957" s="113" t="s">
        <v>89</v>
      </c>
      <c r="G957" s="114">
        <v>25</v>
      </c>
      <c r="H957" s="114">
        <v>11.11</v>
      </c>
      <c r="I957" s="128">
        <f t="shared" si="61"/>
        <v>44.44</v>
      </c>
    </row>
    <row r="958" spans="1:9" s="175" customFormat="1" x14ac:dyDescent="0.2">
      <c r="A958" s="117" t="s">
        <v>34</v>
      </c>
      <c r="B958" s="118" t="s">
        <v>450</v>
      </c>
      <c r="C958" s="118" t="s">
        <v>76</v>
      </c>
      <c r="D958" s="118" t="s">
        <v>93</v>
      </c>
      <c r="E958" s="118" t="s">
        <v>209</v>
      </c>
      <c r="F958" s="118"/>
      <c r="G958" s="119">
        <f>G959</f>
        <v>2294</v>
      </c>
      <c r="H958" s="119">
        <f>H959</f>
        <v>2186.8452000000002</v>
      </c>
      <c r="I958" s="204">
        <f t="shared" si="61"/>
        <v>95.328910200523111</v>
      </c>
    </row>
    <row r="959" spans="1:9" s="175" customFormat="1" x14ac:dyDescent="0.2">
      <c r="A959" s="103" t="s">
        <v>108</v>
      </c>
      <c r="B959" s="104" t="s">
        <v>450</v>
      </c>
      <c r="C959" s="104" t="s">
        <v>76</v>
      </c>
      <c r="D959" s="104" t="s">
        <v>93</v>
      </c>
      <c r="E959" s="104" t="s">
        <v>210</v>
      </c>
      <c r="F959" s="104"/>
      <c r="G959" s="105">
        <f>G960+G964</f>
        <v>2294</v>
      </c>
      <c r="H959" s="105">
        <f>H960+H964</f>
        <v>2186.8452000000002</v>
      </c>
      <c r="I959" s="127">
        <f t="shared" si="61"/>
        <v>95.328910200523111</v>
      </c>
    </row>
    <row r="960" spans="1:9" s="175" customFormat="1" ht="24" x14ac:dyDescent="0.2">
      <c r="A960" s="136" t="s">
        <v>27</v>
      </c>
      <c r="B960" s="132" t="s">
        <v>450</v>
      </c>
      <c r="C960" s="132" t="s">
        <v>76</v>
      </c>
      <c r="D960" s="132" t="s">
        <v>93</v>
      </c>
      <c r="E960" s="132" t="s">
        <v>226</v>
      </c>
      <c r="F960" s="132"/>
      <c r="G960" s="137">
        <f t="shared" ref="G960:H962" si="66">G961</f>
        <v>2194</v>
      </c>
      <c r="H960" s="137">
        <f t="shared" si="66"/>
        <v>2186.8452000000002</v>
      </c>
      <c r="I960" s="204">
        <f t="shared" si="61"/>
        <v>99.673892433910666</v>
      </c>
    </row>
    <row r="961" spans="1:9" s="175" customFormat="1" x14ac:dyDescent="0.2">
      <c r="A961" s="120" t="s">
        <v>35</v>
      </c>
      <c r="B961" s="104" t="s">
        <v>450</v>
      </c>
      <c r="C961" s="104" t="s">
        <v>76</v>
      </c>
      <c r="D961" s="104" t="s">
        <v>93</v>
      </c>
      <c r="E961" s="104" t="s">
        <v>226</v>
      </c>
      <c r="F961" s="104"/>
      <c r="G961" s="105">
        <f t="shared" si="66"/>
        <v>2194</v>
      </c>
      <c r="H961" s="105">
        <f t="shared" si="66"/>
        <v>2186.8452000000002</v>
      </c>
      <c r="I961" s="127">
        <f t="shared" si="61"/>
        <v>99.673892433910666</v>
      </c>
    </row>
    <row r="962" spans="1:9" s="175" customFormat="1" ht="36" x14ac:dyDescent="0.2">
      <c r="A962" s="112" t="s">
        <v>79</v>
      </c>
      <c r="B962" s="113" t="s">
        <v>450</v>
      </c>
      <c r="C962" s="113" t="s">
        <v>76</v>
      </c>
      <c r="D962" s="113" t="s">
        <v>93</v>
      </c>
      <c r="E962" s="113" t="s">
        <v>226</v>
      </c>
      <c r="F962" s="113" t="s">
        <v>80</v>
      </c>
      <c r="G962" s="114">
        <f t="shared" si="66"/>
        <v>2194</v>
      </c>
      <c r="H962" s="114">
        <f t="shared" si="66"/>
        <v>2186.8452000000002</v>
      </c>
      <c r="I962" s="128">
        <f t="shared" si="61"/>
        <v>99.673892433910666</v>
      </c>
    </row>
    <row r="963" spans="1:9" s="175" customFormat="1" x14ac:dyDescent="0.2">
      <c r="A963" s="112" t="s">
        <v>81</v>
      </c>
      <c r="B963" s="113" t="s">
        <v>450</v>
      </c>
      <c r="C963" s="113" t="s">
        <v>76</v>
      </c>
      <c r="D963" s="113" t="s">
        <v>93</v>
      </c>
      <c r="E963" s="113" t="s">
        <v>226</v>
      </c>
      <c r="F963" s="113" t="s">
        <v>82</v>
      </c>
      <c r="G963" s="114">
        <v>2194</v>
      </c>
      <c r="H963" s="114">
        <v>2186.8452000000002</v>
      </c>
      <c r="I963" s="128">
        <f t="shared" si="61"/>
        <v>99.673892433910666</v>
      </c>
    </row>
    <row r="964" spans="1:9" s="175" customFormat="1" x14ac:dyDescent="0.2">
      <c r="A964" s="103" t="s">
        <v>764</v>
      </c>
      <c r="B964" s="104" t="s">
        <v>450</v>
      </c>
      <c r="C964" s="104" t="s">
        <v>76</v>
      </c>
      <c r="D964" s="104" t="s">
        <v>93</v>
      </c>
      <c r="E964" s="104" t="s">
        <v>765</v>
      </c>
      <c r="F964" s="104"/>
      <c r="G964" s="105">
        <f>G965</f>
        <v>100</v>
      </c>
      <c r="H964" s="127">
        <f>H965</f>
        <v>0</v>
      </c>
      <c r="I964" s="128">
        <f t="shared" si="61"/>
        <v>0</v>
      </c>
    </row>
    <row r="965" spans="1:9" s="175" customFormat="1" x14ac:dyDescent="0.2">
      <c r="A965" s="112" t="s">
        <v>95</v>
      </c>
      <c r="B965" s="113" t="s">
        <v>450</v>
      </c>
      <c r="C965" s="113" t="s">
        <v>76</v>
      </c>
      <c r="D965" s="113" t="s">
        <v>93</v>
      </c>
      <c r="E965" s="113" t="s">
        <v>765</v>
      </c>
      <c r="F965" s="113" t="s">
        <v>94</v>
      </c>
      <c r="G965" s="114">
        <f>G966</f>
        <v>100</v>
      </c>
      <c r="H965" s="128">
        <f>H966</f>
        <v>0</v>
      </c>
      <c r="I965" s="128">
        <f t="shared" si="61"/>
        <v>0</v>
      </c>
    </row>
    <row r="966" spans="1:9" s="175" customFormat="1" x14ac:dyDescent="0.2">
      <c r="A966" s="112" t="s">
        <v>96</v>
      </c>
      <c r="B966" s="113" t="s">
        <v>450</v>
      </c>
      <c r="C966" s="113" t="s">
        <v>76</v>
      </c>
      <c r="D966" s="113" t="s">
        <v>93</v>
      </c>
      <c r="E966" s="113" t="s">
        <v>765</v>
      </c>
      <c r="F966" s="113" t="s">
        <v>97</v>
      </c>
      <c r="G966" s="114">
        <v>100</v>
      </c>
      <c r="H966" s="128">
        <v>0</v>
      </c>
      <c r="I966" s="128">
        <f t="shared" si="61"/>
        <v>0</v>
      </c>
    </row>
    <row r="967" spans="1:9" s="175" customFormat="1" ht="31.5" x14ac:dyDescent="0.2">
      <c r="A967" s="106" t="s">
        <v>373</v>
      </c>
      <c r="B967" s="109" t="s">
        <v>374</v>
      </c>
      <c r="C967" s="109"/>
      <c r="D967" s="109"/>
      <c r="E967" s="109"/>
      <c r="F967" s="172"/>
      <c r="G967" s="111">
        <f>G968</f>
        <v>15176</v>
      </c>
      <c r="H967" s="111">
        <f>H968</f>
        <v>13648.229729999999</v>
      </c>
      <c r="I967" s="198">
        <f t="shared" si="61"/>
        <v>89.932984515023719</v>
      </c>
    </row>
    <row r="968" spans="1:9" s="175" customFormat="1" x14ac:dyDescent="0.2">
      <c r="A968" s="103" t="s">
        <v>114</v>
      </c>
      <c r="B968" s="104" t="s">
        <v>374</v>
      </c>
      <c r="C968" s="104" t="s">
        <v>76</v>
      </c>
      <c r="D968" s="104" t="s">
        <v>77</v>
      </c>
      <c r="E968" s="104"/>
      <c r="F968" s="130"/>
      <c r="G968" s="105">
        <f>G969+G980</f>
        <v>15176</v>
      </c>
      <c r="H968" s="105">
        <f>H969+H980</f>
        <v>13648.229729999999</v>
      </c>
      <c r="I968" s="127">
        <f t="shared" si="61"/>
        <v>89.932984515023719</v>
      </c>
    </row>
    <row r="969" spans="1:9" s="175" customFormat="1" ht="24" x14ac:dyDescent="0.2">
      <c r="A969" s="103" t="s">
        <v>308</v>
      </c>
      <c r="B969" s="104" t="s">
        <v>374</v>
      </c>
      <c r="C969" s="104" t="s">
        <v>76</v>
      </c>
      <c r="D969" s="104" t="s">
        <v>295</v>
      </c>
      <c r="E969" s="104"/>
      <c r="F969" s="104"/>
      <c r="G969" s="105">
        <f>G970</f>
        <v>15171</v>
      </c>
      <c r="H969" s="105">
        <f>H970</f>
        <v>13648.229729999999</v>
      </c>
      <c r="I969" s="127">
        <f t="shared" si="61"/>
        <v>89.962624283171834</v>
      </c>
    </row>
    <row r="970" spans="1:9" s="175" customFormat="1" ht="24" x14ac:dyDescent="0.2">
      <c r="A970" s="138" t="s">
        <v>376</v>
      </c>
      <c r="B970" s="118" t="s">
        <v>374</v>
      </c>
      <c r="C970" s="118" t="s">
        <v>76</v>
      </c>
      <c r="D970" s="118" t="s">
        <v>295</v>
      </c>
      <c r="E970" s="118" t="s">
        <v>227</v>
      </c>
      <c r="F970" s="132"/>
      <c r="G970" s="119">
        <f>G971</f>
        <v>15171</v>
      </c>
      <c r="H970" s="119">
        <f>H971</f>
        <v>13648.229729999999</v>
      </c>
      <c r="I970" s="129">
        <f t="shared" si="61"/>
        <v>89.962624283171834</v>
      </c>
    </row>
    <row r="971" spans="1:9" s="175" customFormat="1" x14ac:dyDescent="0.2">
      <c r="A971" s="120" t="s">
        <v>297</v>
      </c>
      <c r="B971" s="104" t="s">
        <v>374</v>
      </c>
      <c r="C971" s="104" t="s">
        <v>76</v>
      </c>
      <c r="D971" s="104" t="s">
        <v>295</v>
      </c>
      <c r="E971" s="104" t="s">
        <v>228</v>
      </c>
      <c r="F971" s="104"/>
      <c r="G971" s="105">
        <f>G972+G975</f>
        <v>15171</v>
      </c>
      <c r="H971" s="105">
        <f>H972+H975</f>
        <v>13648.229729999999</v>
      </c>
      <c r="I971" s="127">
        <f t="shared" si="61"/>
        <v>89.962624283171834</v>
      </c>
    </row>
    <row r="972" spans="1:9" s="175" customFormat="1" ht="24" x14ac:dyDescent="0.2">
      <c r="A972" s="120" t="s">
        <v>37</v>
      </c>
      <c r="B972" s="104" t="s">
        <v>374</v>
      </c>
      <c r="C972" s="104" t="s">
        <v>76</v>
      </c>
      <c r="D972" s="104" t="s">
        <v>295</v>
      </c>
      <c r="E972" s="104" t="s">
        <v>229</v>
      </c>
      <c r="F972" s="104"/>
      <c r="G972" s="105">
        <f>G973</f>
        <v>13120</v>
      </c>
      <c r="H972" s="105">
        <f>H973</f>
        <v>12015.36357</v>
      </c>
      <c r="I972" s="127">
        <f t="shared" si="61"/>
        <v>91.580515015243904</v>
      </c>
    </row>
    <row r="973" spans="1:9" s="175" customFormat="1" ht="36" x14ac:dyDescent="0.2">
      <c r="A973" s="112" t="s">
        <v>79</v>
      </c>
      <c r="B973" s="113" t="s">
        <v>374</v>
      </c>
      <c r="C973" s="113" t="s">
        <v>76</v>
      </c>
      <c r="D973" s="113" t="s">
        <v>295</v>
      </c>
      <c r="E973" s="113" t="s">
        <v>229</v>
      </c>
      <c r="F973" s="113" t="s">
        <v>80</v>
      </c>
      <c r="G973" s="114">
        <f>G974</f>
        <v>13120</v>
      </c>
      <c r="H973" s="114">
        <f>H974</f>
        <v>12015.36357</v>
      </c>
      <c r="I973" s="128">
        <f t="shared" si="61"/>
        <v>91.580515015243904</v>
      </c>
    </row>
    <row r="974" spans="1:9" s="175" customFormat="1" x14ac:dyDescent="0.2">
      <c r="A974" s="112" t="s">
        <v>81</v>
      </c>
      <c r="B974" s="113" t="s">
        <v>374</v>
      </c>
      <c r="C974" s="113" t="s">
        <v>76</v>
      </c>
      <c r="D974" s="113" t="s">
        <v>295</v>
      </c>
      <c r="E974" s="113" t="s">
        <v>229</v>
      </c>
      <c r="F974" s="113" t="s">
        <v>82</v>
      </c>
      <c r="G974" s="114">
        <f>10060+40+3000+20</f>
        <v>13120</v>
      </c>
      <c r="H974" s="114">
        <v>12015.36357</v>
      </c>
      <c r="I974" s="128">
        <f t="shared" si="61"/>
        <v>91.580515015243904</v>
      </c>
    </row>
    <row r="975" spans="1:9" s="175" customFormat="1" ht="24" x14ac:dyDescent="0.2">
      <c r="A975" s="103" t="s">
        <v>38</v>
      </c>
      <c r="B975" s="104" t="s">
        <v>374</v>
      </c>
      <c r="C975" s="104" t="s">
        <v>76</v>
      </c>
      <c r="D975" s="104" t="s">
        <v>295</v>
      </c>
      <c r="E975" s="104" t="s">
        <v>230</v>
      </c>
      <c r="F975" s="104"/>
      <c r="G975" s="105">
        <f>G976+G978</f>
        <v>2051</v>
      </c>
      <c r="H975" s="105">
        <f>H976+H978</f>
        <v>1632.86616</v>
      </c>
      <c r="I975" s="127">
        <f t="shared" si="61"/>
        <v>79.613172111165284</v>
      </c>
    </row>
    <row r="976" spans="1:9" s="175" customFormat="1" x14ac:dyDescent="0.2">
      <c r="A976" s="112" t="s">
        <v>294</v>
      </c>
      <c r="B976" s="113" t="s">
        <v>374</v>
      </c>
      <c r="C976" s="113" t="s">
        <v>76</v>
      </c>
      <c r="D976" s="113" t="s">
        <v>295</v>
      </c>
      <c r="E976" s="113" t="s">
        <v>230</v>
      </c>
      <c r="F976" s="113" t="s">
        <v>84</v>
      </c>
      <c r="G976" s="114">
        <f>G977</f>
        <v>2013</v>
      </c>
      <c r="H976" s="114">
        <f>H977</f>
        <v>1604.42803</v>
      </c>
      <c r="I976" s="128">
        <f t="shared" si="61"/>
        <v>79.703329855936417</v>
      </c>
    </row>
    <row r="977" spans="1:9" s="175" customFormat="1" x14ac:dyDescent="0.2">
      <c r="A977" s="112" t="s">
        <v>85</v>
      </c>
      <c r="B977" s="113" t="s">
        <v>374</v>
      </c>
      <c r="C977" s="113" t="s">
        <v>76</v>
      </c>
      <c r="D977" s="113" t="s">
        <v>295</v>
      </c>
      <c r="E977" s="113" t="s">
        <v>230</v>
      </c>
      <c r="F977" s="113" t="s">
        <v>86</v>
      </c>
      <c r="G977" s="114">
        <f>294+70+30+1008+70+50+496-5</f>
        <v>2013</v>
      </c>
      <c r="H977" s="114">
        <v>1604.42803</v>
      </c>
      <c r="I977" s="128">
        <f t="shared" si="61"/>
        <v>79.703329855936417</v>
      </c>
    </row>
    <row r="978" spans="1:9" s="175" customFormat="1" x14ac:dyDescent="0.2">
      <c r="A978" s="112" t="s">
        <v>87</v>
      </c>
      <c r="B978" s="113" t="s">
        <v>374</v>
      </c>
      <c r="C978" s="113" t="s">
        <v>76</v>
      </c>
      <c r="D978" s="113" t="s">
        <v>295</v>
      </c>
      <c r="E978" s="113" t="s">
        <v>230</v>
      </c>
      <c r="F978" s="113" t="s">
        <v>88</v>
      </c>
      <c r="G978" s="114">
        <f>G979</f>
        <v>38</v>
      </c>
      <c r="H978" s="114">
        <f>H979</f>
        <v>28.438130000000001</v>
      </c>
      <c r="I978" s="128">
        <f t="shared" si="61"/>
        <v>74.837184210526317</v>
      </c>
    </row>
    <row r="979" spans="1:9" s="175" customFormat="1" x14ac:dyDescent="0.2">
      <c r="A979" s="112" t="s">
        <v>500</v>
      </c>
      <c r="B979" s="113" t="s">
        <v>374</v>
      </c>
      <c r="C979" s="113" t="s">
        <v>76</v>
      </c>
      <c r="D979" s="113" t="s">
        <v>295</v>
      </c>
      <c r="E979" s="113" t="s">
        <v>230</v>
      </c>
      <c r="F979" s="113" t="s">
        <v>89</v>
      </c>
      <c r="G979" s="114">
        <v>38</v>
      </c>
      <c r="H979" s="114">
        <v>28.438130000000001</v>
      </c>
      <c r="I979" s="128">
        <f t="shared" si="61"/>
        <v>74.837184210526317</v>
      </c>
    </row>
    <row r="980" spans="1:9" s="175" customFormat="1" x14ac:dyDescent="0.2">
      <c r="A980" s="103" t="s">
        <v>311</v>
      </c>
      <c r="B980" s="104" t="s">
        <v>374</v>
      </c>
      <c r="C980" s="104" t="s">
        <v>76</v>
      </c>
      <c r="D980" s="104" t="s">
        <v>93</v>
      </c>
      <c r="E980" s="113"/>
      <c r="F980" s="104"/>
      <c r="G980" s="105">
        <f t="shared" ref="G980:H984" si="67">G981</f>
        <v>5</v>
      </c>
      <c r="H980" s="127">
        <f t="shared" si="67"/>
        <v>0</v>
      </c>
      <c r="I980" s="127">
        <f t="shared" si="61"/>
        <v>0</v>
      </c>
    </row>
    <row r="981" spans="1:9" s="175" customFormat="1" x14ac:dyDescent="0.2">
      <c r="A981" s="138" t="s">
        <v>74</v>
      </c>
      <c r="B981" s="118" t="s">
        <v>374</v>
      </c>
      <c r="C981" s="118" t="s">
        <v>76</v>
      </c>
      <c r="D981" s="118" t="s">
        <v>93</v>
      </c>
      <c r="E981" s="118" t="s">
        <v>209</v>
      </c>
      <c r="F981" s="118"/>
      <c r="G981" s="119">
        <f t="shared" si="67"/>
        <v>5</v>
      </c>
      <c r="H981" s="129">
        <f t="shared" si="67"/>
        <v>0</v>
      </c>
      <c r="I981" s="129">
        <f t="shared" ref="I981:I985" si="68">H981/G981*100</f>
        <v>0</v>
      </c>
    </row>
    <row r="982" spans="1:9" s="175" customFormat="1" x14ac:dyDescent="0.2">
      <c r="A982" s="103" t="s">
        <v>297</v>
      </c>
      <c r="B982" s="104" t="s">
        <v>374</v>
      </c>
      <c r="C982" s="104" t="s">
        <v>76</v>
      </c>
      <c r="D982" s="104" t="s">
        <v>93</v>
      </c>
      <c r="E982" s="104" t="s">
        <v>210</v>
      </c>
      <c r="F982" s="162"/>
      <c r="G982" s="105">
        <f t="shared" si="67"/>
        <v>5</v>
      </c>
      <c r="H982" s="127">
        <f t="shared" si="67"/>
        <v>0</v>
      </c>
      <c r="I982" s="127">
        <f t="shared" si="68"/>
        <v>0</v>
      </c>
    </row>
    <row r="983" spans="1:9" s="175" customFormat="1" x14ac:dyDescent="0.2">
      <c r="A983" s="103" t="s">
        <v>312</v>
      </c>
      <c r="B983" s="104" t="s">
        <v>374</v>
      </c>
      <c r="C983" s="104" t="s">
        <v>76</v>
      </c>
      <c r="D983" s="104" t="s">
        <v>93</v>
      </c>
      <c r="E983" s="135" t="s">
        <v>337</v>
      </c>
      <c r="F983" s="104"/>
      <c r="G983" s="127">
        <f t="shared" si="67"/>
        <v>5</v>
      </c>
      <c r="H983" s="127">
        <f t="shared" si="67"/>
        <v>0</v>
      </c>
      <c r="I983" s="127">
        <f t="shared" si="68"/>
        <v>0</v>
      </c>
    </row>
    <row r="984" spans="1:9" s="175" customFormat="1" x14ac:dyDescent="0.2">
      <c r="A984" s="112" t="s">
        <v>87</v>
      </c>
      <c r="B984" s="113" t="s">
        <v>374</v>
      </c>
      <c r="C984" s="113" t="s">
        <v>76</v>
      </c>
      <c r="D984" s="113" t="s">
        <v>93</v>
      </c>
      <c r="E984" s="123" t="s">
        <v>337</v>
      </c>
      <c r="F984" s="113" t="s">
        <v>88</v>
      </c>
      <c r="G984" s="128">
        <f>G985</f>
        <v>5</v>
      </c>
      <c r="H984" s="128">
        <f t="shared" si="67"/>
        <v>0</v>
      </c>
      <c r="I984" s="128">
        <f t="shared" si="68"/>
        <v>0</v>
      </c>
    </row>
    <row r="985" spans="1:9" s="175" customFormat="1" x14ac:dyDescent="0.2">
      <c r="A985" s="112" t="s">
        <v>149</v>
      </c>
      <c r="B985" s="113" t="s">
        <v>374</v>
      </c>
      <c r="C985" s="113" t="s">
        <v>76</v>
      </c>
      <c r="D985" s="113" t="s">
        <v>93</v>
      </c>
      <c r="E985" s="123" t="s">
        <v>337</v>
      </c>
      <c r="F985" s="113" t="s">
        <v>153</v>
      </c>
      <c r="G985" s="128">
        <v>5</v>
      </c>
      <c r="H985" s="128">
        <v>0</v>
      </c>
      <c r="I985" s="128">
        <f t="shared" si="68"/>
        <v>0</v>
      </c>
    </row>
    <row r="986" spans="1:9" x14ac:dyDescent="0.2">
      <c r="A986" s="47"/>
      <c r="B986" s="9"/>
      <c r="C986" s="9"/>
      <c r="D986" s="9"/>
      <c r="E986" s="9"/>
      <c r="F986" s="9"/>
    </row>
    <row r="987" spans="1:9" x14ac:dyDescent="0.2">
      <c r="A987" s="47"/>
      <c r="B987" s="9"/>
      <c r="C987" s="9"/>
      <c r="D987" s="9"/>
      <c r="E987" s="9"/>
      <c r="F987" s="9"/>
    </row>
    <row r="988" spans="1:9" ht="15.75" x14ac:dyDescent="0.25">
      <c r="A988" s="342" t="s">
        <v>967</v>
      </c>
      <c r="B988" s="342"/>
      <c r="C988" s="342"/>
      <c r="D988" s="342"/>
      <c r="E988" s="342"/>
      <c r="F988" s="342"/>
      <c r="G988" s="342"/>
      <c r="H988" s="342"/>
      <c r="I988" s="342"/>
    </row>
    <row r="989" spans="1:9" x14ac:dyDescent="0.2">
      <c r="A989" s="47"/>
      <c r="B989" s="9"/>
      <c r="C989" s="9"/>
      <c r="D989" s="9"/>
      <c r="E989" s="9"/>
      <c r="F989" s="9"/>
    </row>
    <row r="990" spans="1:9" x14ac:dyDescent="0.2">
      <c r="A990" s="47"/>
      <c r="B990" s="9"/>
      <c r="C990" s="9"/>
      <c r="D990" s="9"/>
      <c r="E990" s="9"/>
      <c r="F990" s="9"/>
    </row>
    <row r="991" spans="1:9" x14ac:dyDescent="0.2">
      <c r="A991" s="47"/>
      <c r="B991" s="9"/>
      <c r="C991" s="9"/>
      <c r="D991" s="9"/>
      <c r="E991" s="9"/>
      <c r="F991" s="9"/>
    </row>
    <row r="992" spans="1:9" x14ac:dyDescent="0.2">
      <c r="A992" s="47"/>
      <c r="B992" s="9"/>
      <c r="C992" s="9"/>
      <c r="D992" s="9"/>
      <c r="E992" s="9"/>
      <c r="F992" s="9"/>
    </row>
    <row r="993" spans="1:6" x14ac:dyDescent="0.2">
      <c r="A993" s="47"/>
      <c r="B993" s="9"/>
      <c r="C993" s="9"/>
      <c r="D993" s="9"/>
      <c r="E993" s="9"/>
      <c r="F993" s="9"/>
    </row>
    <row r="994" spans="1:6" x14ac:dyDescent="0.2">
      <c r="A994" s="47"/>
      <c r="B994" s="9"/>
      <c r="C994" s="9"/>
      <c r="D994" s="9"/>
      <c r="E994" s="9"/>
      <c r="F994" s="9"/>
    </row>
    <row r="995" spans="1:6" x14ac:dyDescent="0.2">
      <c r="A995" s="47"/>
      <c r="B995" s="9"/>
      <c r="C995" s="9"/>
      <c r="D995" s="9"/>
      <c r="E995" s="9"/>
      <c r="F995" s="9"/>
    </row>
    <row r="996" spans="1:6" x14ac:dyDescent="0.2">
      <c r="A996" s="47"/>
      <c r="B996" s="9"/>
      <c r="C996" s="9"/>
      <c r="D996" s="9"/>
      <c r="E996" s="9"/>
      <c r="F996" s="9"/>
    </row>
    <row r="997" spans="1:6" x14ac:dyDescent="0.2">
      <c r="A997" s="47"/>
      <c r="B997" s="9"/>
      <c r="C997" s="9"/>
      <c r="D997" s="9"/>
      <c r="E997" s="9"/>
      <c r="F997" s="9"/>
    </row>
    <row r="998" spans="1:6" x14ac:dyDescent="0.2">
      <c r="A998" s="47"/>
      <c r="B998" s="9"/>
      <c r="C998" s="9"/>
      <c r="D998" s="9"/>
      <c r="E998" s="9"/>
      <c r="F998" s="9"/>
    </row>
    <row r="999" spans="1:6" x14ac:dyDescent="0.2">
      <c r="A999" s="47"/>
      <c r="B999" s="9"/>
      <c r="C999" s="9"/>
      <c r="D999" s="9"/>
      <c r="E999" s="9"/>
      <c r="F999" s="9"/>
    </row>
    <row r="1000" spans="1:6" x14ac:dyDescent="0.2">
      <c r="A1000" s="47"/>
      <c r="B1000" s="9"/>
      <c r="C1000" s="9"/>
      <c r="D1000" s="9"/>
      <c r="E1000" s="9"/>
      <c r="F1000" s="9"/>
    </row>
    <row r="1001" spans="1:6" x14ac:dyDescent="0.2">
      <c r="A1001" s="47"/>
      <c r="B1001" s="9"/>
      <c r="C1001" s="9"/>
      <c r="D1001" s="9"/>
      <c r="E1001" s="9"/>
      <c r="F1001" s="9"/>
    </row>
    <row r="1002" spans="1:6" x14ac:dyDescent="0.2">
      <c r="A1002" s="47"/>
      <c r="B1002" s="9"/>
      <c r="C1002" s="9"/>
      <c r="D1002" s="9"/>
      <c r="E1002" s="9"/>
      <c r="F1002" s="9"/>
    </row>
    <row r="1003" spans="1:6" x14ac:dyDescent="0.2">
      <c r="A1003" s="47"/>
      <c r="B1003" s="9"/>
      <c r="C1003" s="9"/>
      <c r="D1003" s="9"/>
      <c r="E1003" s="9"/>
      <c r="F1003" s="9"/>
    </row>
    <row r="1004" spans="1:6" x14ac:dyDescent="0.2">
      <c r="A1004" s="47"/>
      <c r="B1004" s="9"/>
      <c r="C1004" s="9"/>
      <c r="D1004" s="9"/>
      <c r="E1004" s="9"/>
      <c r="F1004" s="9"/>
    </row>
    <row r="1005" spans="1:6" x14ac:dyDescent="0.2">
      <c r="A1005" s="47"/>
      <c r="B1005" s="9"/>
      <c r="C1005" s="9"/>
      <c r="D1005" s="9"/>
      <c r="E1005" s="9"/>
      <c r="F1005" s="9"/>
    </row>
    <row r="1006" spans="1:6" x14ac:dyDescent="0.2">
      <c r="A1006" s="47"/>
      <c r="B1006" s="9"/>
      <c r="C1006" s="9"/>
      <c r="D1006" s="9"/>
      <c r="E1006" s="9"/>
      <c r="F1006" s="9"/>
    </row>
    <row r="1007" spans="1:6" x14ac:dyDescent="0.2">
      <c r="A1007" s="47"/>
      <c r="B1007" s="9"/>
      <c r="C1007" s="9"/>
      <c r="D1007" s="9"/>
      <c r="E1007" s="9"/>
      <c r="F1007" s="9"/>
    </row>
    <row r="1008" spans="1:6" x14ac:dyDescent="0.2">
      <c r="A1008" s="47"/>
      <c r="B1008" s="9"/>
      <c r="C1008" s="9"/>
      <c r="D1008" s="9"/>
      <c r="E1008" s="9"/>
      <c r="F1008" s="9"/>
    </row>
    <row r="1009" spans="1:6" x14ac:dyDescent="0.2">
      <c r="A1009" s="47"/>
      <c r="B1009" s="9"/>
      <c r="C1009" s="9"/>
      <c r="D1009" s="9"/>
      <c r="E1009" s="9"/>
      <c r="F1009" s="9"/>
    </row>
    <row r="1010" spans="1:6" x14ac:dyDescent="0.2">
      <c r="A1010" s="47"/>
      <c r="B1010" s="9"/>
      <c r="C1010" s="9"/>
      <c r="D1010" s="9"/>
      <c r="E1010" s="9"/>
      <c r="F1010" s="9"/>
    </row>
    <row r="1011" spans="1:6" x14ac:dyDescent="0.2">
      <c r="A1011" s="47"/>
      <c r="B1011" s="9"/>
      <c r="C1011" s="9"/>
      <c r="D1011" s="9"/>
      <c r="E1011" s="9"/>
      <c r="F1011" s="9"/>
    </row>
    <row r="1012" spans="1:6" x14ac:dyDescent="0.2">
      <c r="A1012" s="47"/>
      <c r="B1012" s="9"/>
      <c r="C1012" s="9"/>
      <c r="D1012" s="9"/>
      <c r="E1012" s="9"/>
      <c r="F1012" s="9"/>
    </row>
    <row r="1013" spans="1:6" x14ac:dyDescent="0.2">
      <c r="A1013" s="47"/>
      <c r="B1013" s="9"/>
      <c r="C1013" s="9"/>
      <c r="D1013" s="9"/>
      <c r="E1013" s="9"/>
      <c r="F1013" s="9"/>
    </row>
    <row r="1014" spans="1:6" x14ac:dyDescent="0.2">
      <c r="A1014" s="47"/>
      <c r="B1014" s="9"/>
      <c r="C1014" s="9"/>
      <c r="D1014" s="9"/>
      <c r="E1014" s="9"/>
      <c r="F1014" s="9"/>
    </row>
    <row r="1015" spans="1:6" x14ac:dyDescent="0.2">
      <c r="A1015" s="47"/>
      <c r="B1015" s="9"/>
      <c r="C1015" s="9"/>
      <c r="D1015" s="9"/>
      <c r="E1015" s="9"/>
      <c r="F1015" s="9"/>
    </row>
    <row r="1016" spans="1:6" x14ac:dyDescent="0.2">
      <c r="A1016" s="47"/>
      <c r="B1016" s="9"/>
      <c r="C1016" s="9"/>
      <c r="D1016" s="9"/>
      <c r="E1016" s="9"/>
      <c r="F1016" s="9"/>
    </row>
    <row r="1017" spans="1:6" x14ac:dyDescent="0.2">
      <c r="A1017" s="47"/>
      <c r="B1017" s="9"/>
      <c r="C1017" s="9"/>
      <c r="D1017" s="9"/>
      <c r="E1017" s="9"/>
      <c r="F1017" s="9"/>
    </row>
    <row r="1018" spans="1:6" x14ac:dyDescent="0.2">
      <c r="A1018" s="47"/>
      <c r="B1018" s="9"/>
      <c r="C1018" s="9"/>
      <c r="D1018" s="9"/>
      <c r="E1018" s="9"/>
      <c r="F1018" s="9"/>
    </row>
    <row r="1019" spans="1:6" x14ac:dyDescent="0.2">
      <c r="A1019" s="47"/>
      <c r="B1019" s="9"/>
      <c r="C1019" s="9"/>
      <c r="D1019" s="9"/>
      <c r="E1019" s="9"/>
      <c r="F1019" s="9"/>
    </row>
    <row r="1020" spans="1:6" x14ac:dyDescent="0.2">
      <c r="A1020" s="47"/>
      <c r="B1020" s="9"/>
      <c r="C1020" s="9"/>
      <c r="D1020" s="9"/>
      <c r="E1020" s="9"/>
      <c r="F1020" s="9"/>
    </row>
    <row r="1021" spans="1:6" x14ac:dyDescent="0.2">
      <c r="A1021" s="47"/>
      <c r="B1021" s="9"/>
      <c r="C1021" s="9"/>
      <c r="D1021" s="9"/>
      <c r="E1021" s="9"/>
      <c r="F1021" s="9"/>
    </row>
    <row r="1022" spans="1:6" x14ac:dyDescent="0.2">
      <c r="A1022" s="47"/>
      <c r="B1022" s="9"/>
      <c r="C1022" s="9"/>
      <c r="D1022" s="9"/>
      <c r="E1022" s="9"/>
      <c r="F1022" s="9"/>
    </row>
    <row r="1023" spans="1:6" x14ac:dyDescent="0.2">
      <c r="A1023" s="47"/>
      <c r="B1023" s="9"/>
      <c r="C1023" s="9"/>
      <c r="D1023" s="9"/>
      <c r="E1023" s="9"/>
      <c r="F1023" s="9"/>
    </row>
    <row r="1024" spans="1:6" x14ac:dyDescent="0.2">
      <c r="A1024" s="47"/>
      <c r="B1024" s="9"/>
      <c r="C1024" s="9"/>
      <c r="D1024" s="9"/>
      <c r="E1024" s="9"/>
      <c r="F1024" s="9"/>
    </row>
    <row r="1025" spans="1:6" x14ac:dyDescent="0.2">
      <c r="A1025" s="47"/>
      <c r="B1025" s="9"/>
      <c r="C1025" s="9"/>
      <c r="D1025" s="9"/>
      <c r="E1025" s="9"/>
      <c r="F1025" s="9"/>
    </row>
    <row r="1026" spans="1:6" x14ac:dyDescent="0.2">
      <c r="A1026" s="47"/>
      <c r="B1026" s="9"/>
      <c r="C1026" s="9"/>
      <c r="D1026" s="9"/>
      <c r="E1026" s="9"/>
      <c r="F1026" s="9"/>
    </row>
    <row r="1027" spans="1:6" x14ac:dyDescent="0.2">
      <c r="A1027" s="47"/>
      <c r="B1027" s="9"/>
      <c r="C1027" s="9"/>
      <c r="D1027" s="9"/>
      <c r="E1027" s="9"/>
      <c r="F1027" s="9"/>
    </row>
    <row r="1028" spans="1:6" x14ac:dyDescent="0.2">
      <c r="A1028" s="47"/>
      <c r="B1028" s="9"/>
      <c r="C1028" s="9"/>
      <c r="D1028" s="9"/>
      <c r="E1028" s="9"/>
      <c r="F1028" s="9"/>
    </row>
    <row r="1029" spans="1:6" x14ac:dyDescent="0.2">
      <c r="A1029" s="47"/>
      <c r="B1029" s="9"/>
      <c r="C1029" s="9"/>
      <c r="D1029" s="9"/>
      <c r="E1029" s="9"/>
      <c r="F1029" s="9"/>
    </row>
    <row r="1030" spans="1:6" x14ac:dyDescent="0.2">
      <c r="A1030" s="47"/>
      <c r="B1030" s="9"/>
      <c r="C1030" s="9"/>
      <c r="D1030" s="9"/>
      <c r="E1030" s="9"/>
      <c r="F1030" s="9"/>
    </row>
    <row r="1031" spans="1:6" x14ac:dyDescent="0.2">
      <c r="A1031" s="47"/>
      <c r="B1031" s="9"/>
      <c r="C1031" s="9"/>
      <c r="D1031" s="9"/>
      <c r="E1031" s="9"/>
      <c r="F1031" s="9"/>
    </row>
    <row r="1032" spans="1:6" x14ac:dyDescent="0.2">
      <c r="A1032" s="47"/>
      <c r="B1032" s="9"/>
      <c r="C1032" s="9"/>
      <c r="D1032" s="9"/>
      <c r="E1032" s="9"/>
      <c r="F1032" s="9"/>
    </row>
    <row r="1033" spans="1:6" x14ac:dyDescent="0.2">
      <c r="A1033" s="47"/>
      <c r="B1033" s="9"/>
      <c r="C1033" s="9"/>
      <c r="D1033" s="9"/>
      <c r="E1033" s="9"/>
      <c r="F1033" s="9"/>
    </row>
    <row r="1034" spans="1:6" x14ac:dyDescent="0.2">
      <c r="A1034" s="47"/>
      <c r="B1034" s="9"/>
      <c r="C1034" s="9"/>
      <c r="D1034" s="9"/>
      <c r="E1034" s="9"/>
      <c r="F1034" s="9"/>
    </row>
    <row r="1035" spans="1:6" x14ac:dyDescent="0.2">
      <c r="A1035" s="47"/>
      <c r="B1035" s="9"/>
      <c r="C1035" s="9"/>
      <c r="D1035" s="9"/>
      <c r="E1035" s="9"/>
      <c r="F1035" s="9"/>
    </row>
    <row r="1036" spans="1:6" x14ac:dyDescent="0.2">
      <c r="A1036" s="47"/>
      <c r="B1036" s="9"/>
      <c r="C1036" s="9"/>
      <c r="D1036" s="9"/>
      <c r="E1036" s="9"/>
      <c r="F1036" s="9"/>
    </row>
    <row r="1037" spans="1:6" x14ac:dyDescent="0.2">
      <c r="A1037" s="47"/>
      <c r="B1037" s="9"/>
      <c r="C1037" s="9"/>
      <c r="D1037" s="9"/>
      <c r="E1037" s="9"/>
      <c r="F1037" s="9"/>
    </row>
    <row r="1038" spans="1:6" x14ac:dyDescent="0.2">
      <c r="A1038" s="47"/>
      <c r="B1038" s="9"/>
      <c r="C1038" s="9"/>
      <c r="D1038" s="9"/>
      <c r="E1038" s="9"/>
      <c r="F1038" s="9"/>
    </row>
    <row r="1039" spans="1:6" x14ac:dyDescent="0.2">
      <c r="A1039" s="47"/>
      <c r="B1039" s="9"/>
      <c r="C1039" s="9"/>
      <c r="D1039" s="9"/>
      <c r="E1039" s="9"/>
      <c r="F1039" s="9"/>
    </row>
    <row r="1040" spans="1:6" x14ac:dyDescent="0.2">
      <c r="A1040" s="47"/>
      <c r="B1040" s="9"/>
      <c r="C1040" s="9"/>
      <c r="D1040" s="9"/>
      <c r="E1040" s="9"/>
      <c r="F1040" s="9"/>
    </row>
    <row r="1041" spans="1:6" x14ac:dyDescent="0.2">
      <c r="A1041" s="47"/>
      <c r="B1041" s="9"/>
      <c r="C1041" s="9"/>
      <c r="D1041" s="9"/>
      <c r="E1041" s="9"/>
      <c r="F1041" s="9"/>
    </row>
    <row r="1042" spans="1:6" x14ac:dyDescent="0.2">
      <c r="A1042" s="47"/>
      <c r="B1042" s="9"/>
      <c r="C1042" s="9"/>
      <c r="D1042" s="9"/>
      <c r="E1042" s="9"/>
      <c r="F1042" s="9"/>
    </row>
    <row r="1043" spans="1:6" x14ac:dyDescent="0.2">
      <c r="A1043" s="47"/>
      <c r="B1043" s="9"/>
      <c r="C1043" s="9"/>
      <c r="D1043" s="9"/>
      <c r="E1043" s="9"/>
      <c r="F1043" s="9"/>
    </row>
    <row r="1044" spans="1:6" x14ac:dyDescent="0.2">
      <c r="A1044" s="47"/>
      <c r="B1044" s="9"/>
      <c r="C1044" s="9"/>
      <c r="D1044" s="9"/>
      <c r="E1044" s="9"/>
      <c r="F1044" s="9"/>
    </row>
    <row r="1045" spans="1:6" x14ac:dyDescent="0.2">
      <c r="A1045" s="47"/>
      <c r="B1045" s="9"/>
      <c r="C1045" s="9"/>
      <c r="D1045" s="9"/>
      <c r="E1045" s="9"/>
      <c r="F1045" s="9"/>
    </row>
    <row r="1046" spans="1:6" x14ac:dyDescent="0.2">
      <c r="A1046" s="47"/>
      <c r="B1046" s="9"/>
      <c r="C1046" s="9"/>
      <c r="D1046" s="9"/>
      <c r="E1046" s="9"/>
      <c r="F1046" s="9"/>
    </row>
    <row r="1047" spans="1:6" x14ac:dyDescent="0.2">
      <c r="A1047" s="47"/>
      <c r="B1047" s="9"/>
      <c r="C1047" s="9"/>
      <c r="D1047" s="9"/>
      <c r="E1047" s="9"/>
      <c r="F1047" s="9"/>
    </row>
    <row r="1048" spans="1:6" x14ac:dyDescent="0.2">
      <c r="A1048" s="47"/>
      <c r="B1048" s="9"/>
      <c r="C1048" s="9"/>
      <c r="D1048" s="9"/>
      <c r="E1048" s="9"/>
      <c r="F1048" s="9"/>
    </row>
    <row r="1049" spans="1:6" x14ac:dyDescent="0.2">
      <c r="A1049" s="47"/>
      <c r="B1049" s="9"/>
      <c r="C1049" s="9"/>
      <c r="D1049" s="9"/>
      <c r="E1049" s="9"/>
      <c r="F1049" s="9"/>
    </row>
    <row r="1050" spans="1:6" x14ac:dyDescent="0.2">
      <c r="A1050" s="47"/>
      <c r="B1050" s="9"/>
      <c r="C1050" s="9"/>
      <c r="D1050" s="9"/>
      <c r="E1050" s="9"/>
      <c r="F1050" s="9"/>
    </row>
    <row r="1051" spans="1:6" x14ac:dyDescent="0.2">
      <c r="A1051" s="47"/>
      <c r="B1051" s="9"/>
      <c r="C1051" s="9"/>
      <c r="D1051" s="9"/>
      <c r="E1051" s="9"/>
      <c r="F1051" s="9"/>
    </row>
    <row r="1052" spans="1:6" x14ac:dyDescent="0.2">
      <c r="A1052" s="47"/>
      <c r="B1052" s="9"/>
      <c r="C1052" s="9"/>
      <c r="D1052" s="9"/>
      <c r="E1052" s="9"/>
      <c r="F1052" s="9"/>
    </row>
    <row r="1053" spans="1:6" x14ac:dyDescent="0.2">
      <c r="A1053" s="47"/>
      <c r="B1053" s="9"/>
      <c r="C1053" s="9"/>
      <c r="D1053" s="9"/>
      <c r="E1053" s="9"/>
      <c r="F1053" s="9"/>
    </row>
    <row r="1054" spans="1:6" x14ac:dyDescent="0.2">
      <c r="A1054" s="47"/>
      <c r="B1054" s="9"/>
      <c r="C1054" s="9"/>
      <c r="D1054" s="9"/>
      <c r="E1054" s="9"/>
      <c r="F1054" s="9"/>
    </row>
    <row r="1055" spans="1:6" x14ac:dyDescent="0.2">
      <c r="A1055" s="47"/>
      <c r="B1055" s="9"/>
      <c r="C1055" s="9"/>
      <c r="D1055" s="9"/>
      <c r="E1055" s="9"/>
      <c r="F1055" s="9"/>
    </row>
    <row r="1056" spans="1:6" x14ac:dyDescent="0.2">
      <c r="A1056" s="47"/>
      <c r="B1056" s="9"/>
      <c r="C1056" s="9"/>
      <c r="D1056" s="9"/>
      <c r="E1056" s="9"/>
      <c r="F1056" s="9"/>
    </row>
    <row r="1057" spans="1:6" x14ac:dyDescent="0.2">
      <c r="A1057" s="47"/>
      <c r="B1057" s="9"/>
      <c r="C1057" s="9"/>
      <c r="D1057" s="9"/>
      <c r="E1057" s="9"/>
      <c r="F1057" s="9"/>
    </row>
    <row r="1058" spans="1:6" x14ac:dyDescent="0.2">
      <c r="A1058" s="47"/>
      <c r="B1058" s="9"/>
      <c r="C1058" s="9"/>
      <c r="D1058" s="9"/>
      <c r="E1058" s="9"/>
      <c r="F1058" s="9"/>
    </row>
    <row r="1059" spans="1:6" x14ac:dyDescent="0.2">
      <c r="A1059" s="47"/>
      <c r="B1059" s="9"/>
      <c r="C1059" s="9"/>
      <c r="D1059" s="9"/>
      <c r="E1059" s="9"/>
      <c r="F1059" s="9"/>
    </row>
    <row r="1060" spans="1:6" x14ac:dyDescent="0.2">
      <c r="A1060" s="47"/>
      <c r="B1060" s="9"/>
      <c r="C1060" s="9"/>
      <c r="D1060" s="9"/>
      <c r="E1060" s="9"/>
      <c r="F1060" s="9"/>
    </row>
    <row r="1061" spans="1:6" x14ac:dyDescent="0.2">
      <c r="A1061" s="47"/>
      <c r="B1061" s="9"/>
      <c r="C1061" s="9"/>
      <c r="D1061" s="9"/>
      <c r="E1061" s="9"/>
      <c r="F1061" s="9"/>
    </row>
    <row r="1062" spans="1:6" x14ac:dyDescent="0.2">
      <c r="A1062" s="47"/>
      <c r="B1062" s="9"/>
      <c r="C1062" s="9"/>
      <c r="D1062" s="9"/>
      <c r="E1062" s="9"/>
      <c r="F1062" s="9"/>
    </row>
    <row r="1063" spans="1:6" x14ac:dyDescent="0.2">
      <c r="A1063" s="47"/>
      <c r="B1063" s="9"/>
      <c r="C1063" s="9"/>
      <c r="D1063" s="9"/>
      <c r="E1063" s="9"/>
      <c r="F1063" s="9"/>
    </row>
    <row r="1064" spans="1:6" x14ac:dyDescent="0.2">
      <c r="A1064" s="47"/>
      <c r="B1064" s="9"/>
      <c r="C1064" s="9"/>
      <c r="D1064" s="9"/>
      <c r="E1064" s="9"/>
      <c r="F1064" s="9"/>
    </row>
    <row r="1065" spans="1:6" x14ac:dyDescent="0.2">
      <c r="A1065" s="47"/>
      <c r="B1065" s="9"/>
      <c r="C1065" s="9"/>
      <c r="D1065" s="9"/>
    </row>
    <row r="1066" spans="1:6" x14ac:dyDescent="0.2">
      <c r="A1066" s="47"/>
      <c r="B1066" s="9"/>
      <c r="C1066" s="9"/>
      <c r="D1066" s="9"/>
    </row>
  </sheetData>
  <autoFilter ref="A8:G985"/>
  <mergeCells count="7">
    <mergeCell ref="A988:I988"/>
    <mergeCell ref="A1:I1"/>
    <mergeCell ref="A2:I2"/>
    <mergeCell ref="A3:I3"/>
    <mergeCell ref="A4:F4"/>
    <mergeCell ref="A7:I7"/>
    <mergeCell ref="A5:I5"/>
  </mergeCells>
  <phoneticPr fontId="2" type="noConversion"/>
  <pageMargins left="0.39370078740157483" right="0.39370078740157483" top="0.39370078740157483" bottom="0.39370078740157483" header="0" footer="0"/>
  <pageSetup paperSize="9" scale="90" orientation="landscape" useFirstPageNumber="1" r:id="rId1"/>
  <headerFooter alignWithMargins="0">
    <oddFooter>&amp;C&amp;P</oddFooter>
  </headerFooter>
  <rowBreaks count="2" manualBreakCount="2">
    <brk id="797" max="8" man="1"/>
    <brk id="92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J947"/>
  <sheetViews>
    <sheetView view="pageBreakPreview" zoomScale="130" zoomScaleNormal="130" zoomScaleSheetLayoutView="130" workbookViewId="0">
      <selection activeCell="H636" sqref="H636"/>
    </sheetView>
  </sheetViews>
  <sheetFormatPr defaultRowHeight="12.75" x14ac:dyDescent="0.2"/>
  <cols>
    <col min="1" max="1" width="88.42578125" style="2" customWidth="1"/>
    <col min="2" max="3" width="7.5703125" style="21" customWidth="1"/>
    <col min="4" max="4" width="13.42578125" style="21" customWidth="1"/>
    <col min="5" max="5" width="9.42578125" style="21" customWidth="1"/>
    <col min="6" max="7" width="12.85546875" style="31" hidden="1" customWidth="1"/>
    <col min="8" max="8" width="14" style="31" customWidth="1"/>
    <col min="9" max="9" width="12.28515625" customWidth="1"/>
    <col min="10" max="10" width="10.42578125" customWidth="1"/>
  </cols>
  <sheetData>
    <row r="1" spans="1:10" ht="15" x14ac:dyDescent="0.25">
      <c r="A1" s="339" t="s">
        <v>886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15" x14ac:dyDescent="0.25">
      <c r="A2" s="339" t="s">
        <v>754</v>
      </c>
      <c r="B2" s="339"/>
      <c r="C2" s="339"/>
      <c r="D2" s="339"/>
      <c r="E2" s="339"/>
      <c r="F2" s="339"/>
      <c r="G2" s="339"/>
      <c r="H2" s="339"/>
      <c r="I2" s="339"/>
      <c r="J2" s="339"/>
    </row>
    <row r="3" spans="1:10" ht="15" x14ac:dyDescent="0.25">
      <c r="A3" s="339" t="s">
        <v>885</v>
      </c>
      <c r="B3" s="339"/>
      <c r="C3" s="339"/>
      <c r="D3" s="339"/>
      <c r="E3" s="339"/>
      <c r="F3" s="339"/>
      <c r="G3" s="339"/>
      <c r="H3" s="339"/>
      <c r="I3" s="339"/>
      <c r="J3" s="339"/>
    </row>
    <row r="4" spans="1:10" x14ac:dyDescent="0.2">
      <c r="A4" s="90"/>
      <c r="B4" s="86"/>
      <c r="C4" s="86"/>
      <c r="D4" s="86"/>
      <c r="E4" s="86"/>
      <c r="F4" s="87"/>
      <c r="G4" s="87"/>
      <c r="H4" s="87"/>
    </row>
    <row r="5" spans="1:10" ht="15.75" x14ac:dyDescent="0.25">
      <c r="A5" s="88"/>
      <c r="B5" s="88"/>
      <c r="C5" s="88"/>
      <c r="D5" s="88"/>
      <c r="E5" s="88"/>
    </row>
    <row r="6" spans="1:10" ht="81" customHeight="1" x14ac:dyDescent="0.2">
      <c r="A6" s="346" t="s">
        <v>669</v>
      </c>
      <c r="B6" s="346"/>
      <c r="C6" s="346"/>
      <c r="D6" s="346"/>
      <c r="E6" s="346"/>
      <c r="F6" s="346"/>
      <c r="G6" s="346"/>
      <c r="H6" s="346"/>
      <c r="I6" s="346"/>
      <c r="J6" s="346"/>
    </row>
    <row r="7" spans="1:10" ht="8.25" customHeight="1" x14ac:dyDescent="0.2">
      <c r="A7" s="89"/>
      <c r="B7" s="89"/>
      <c r="C7" s="89"/>
      <c r="D7" s="89"/>
      <c r="E7" s="89"/>
    </row>
    <row r="8" spans="1:10" x14ac:dyDescent="0.2">
      <c r="A8" s="345" t="s">
        <v>456</v>
      </c>
      <c r="B8" s="345"/>
      <c r="C8" s="345"/>
      <c r="D8" s="345"/>
      <c r="E8" s="345"/>
      <c r="F8" s="345"/>
      <c r="G8" s="345"/>
      <c r="H8" s="345"/>
      <c r="I8" s="345"/>
      <c r="J8" s="345"/>
    </row>
    <row r="9" spans="1:10" ht="24" x14ac:dyDescent="0.2">
      <c r="A9" s="54" t="s">
        <v>110</v>
      </c>
      <c r="B9" s="54" t="s">
        <v>33</v>
      </c>
      <c r="C9" s="54" t="s">
        <v>32</v>
      </c>
      <c r="D9" s="54" t="s">
        <v>111</v>
      </c>
      <c r="E9" s="54" t="s">
        <v>386</v>
      </c>
      <c r="F9" s="54" t="s">
        <v>158</v>
      </c>
      <c r="G9" s="54" t="s">
        <v>307</v>
      </c>
      <c r="H9" s="54" t="s">
        <v>767</v>
      </c>
      <c r="I9" s="54" t="s">
        <v>770</v>
      </c>
      <c r="J9" s="54" t="s">
        <v>766</v>
      </c>
    </row>
    <row r="10" spans="1:10" ht="15.75" x14ac:dyDescent="0.2">
      <c r="A10" s="56" t="s">
        <v>113</v>
      </c>
      <c r="B10" s="24"/>
      <c r="C10" s="24"/>
      <c r="D10" s="24"/>
      <c r="E10" s="24"/>
      <c r="F10" s="72" t="e">
        <f>F11+F178+F193+F314+#REF!+F510+F636+F702+F739+F768+F786</f>
        <v>#REF!</v>
      </c>
      <c r="G10" s="72" t="e">
        <f>H10-F10</f>
        <v>#REF!</v>
      </c>
      <c r="H10" s="72">
        <f>H11+H178+H193+H314+H510+H636+H702+H739+H768+H786</f>
        <v>5667848.7926000003</v>
      </c>
      <c r="I10" s="72">
        <f>I11+I178+I193+I314+I510+I636+I702+I739+I768+I786</f>
        <v>5421291.0185700012</v>
      </c>
      <c r="J10" s="72">
        <f t="shared" ref="J10:J21" si="0">I10/H10*100</f>
        <v>95.649887937167506</v>
      </c>
    </row>
    <row r="11" spans="1:10" s="175" customFormat="1" x14ac:dyDescent="0.2">
      <c r="A11" s="158" t="s">
        <v>114</v>
      </c>
      <c r="B11" s="104" t="s">
        <v>76</v>
      </c>
      <c r="C11" s="104" t="s">
        <v>77</v>
      </c>
      <c r="D11" s="104"/>
      <c r="E11" s="104"/>
      <c r="F11" s="147" t="e">
        <f>F12+F22+F33+F53+F59+F85+F91</f>
        <v>#REF!</v>
      </c>
      <c r="G11" s="147" t="e">
        <f>H11-F11</f>
        <v>#REF!</v>
      </c>
      <c r="H11" s="147">
        <f>H12+H22+H33+H53+H59+H85+H91</f>
        <v>313901.80249000003</v>
      </c>
      <c r="I11" s="147">
        <f t="shared" ref="I11" si="1">I12+I22+I33+I53+I59+I85+I91</f>
        <v>281427.66393000004</v>
      </c>
      <c r="J11" s="147">
        <f t="shared" si="0"/>
        <v>89.654682355309347</v>
      </c>
    </row>
    <row r="12" spans="1:10" s="175" customFormat="1" ht="24" x14ac:dyDescent="0.2">
      <c r="A12" s="103" t="s">
        <v>451</v>
      </c>
      <c r="B12" s="104" t="s">
        <v>76</v>
      </c>
      <c r="C12" s="104" t="s">
        <v>477</v>
      </c>
      <c r="D12" s="104"/>
      <c r="E12" s="104"/>
      <c r="F12" s="105">
        <f t="shared" ref="F12:I17" si="2">F13</f>
        <v>2000</v>
      </c>
      <c r="G12" s="147">
        <f t="shared" ref="G12:G81" si="3">H12-F12</f>
        <v>140.30000000000018</v>
      </c>
      <c r="H12" s="105">
        <f>H13+H19</f>
        <v>2140.3000000000002</v>
      </c>
      <c r="I12" s="105">
        <f>I13+I19</f>
        <v>1937.25389</v>
      </c>
      <c r="J12" s="105">
        <f t="shared" si="0"/>
        <v>90.513193944774088</v>
      </c>
    </row>
    <row r="13" spans="1:10" s="175" customFormat="1" x14ac:dyDescent="0.2">
      <c r="A13" s="117" t="s">
        <v>34</v>
      </c>
      <c r="B13" s="118" t="s">
        <v>76</v>
      </c>
      <c r="C13" s="118" t="s">
        <v>477</v>
      </c>
      <c r="D13" s="118" t="s">
        <v>215</v>
      </c>
      <c r="E13" s="118"/>
      <c r="F13" s="119">
        <f t="shared" si="2"/>
        <v>2000</v>
      </c>
      <c r="G13" s="147">
        <f t="shared" si="3"/>
        <v>-55</v>
      </c>
      <c r="H13" s="119">
        <f t="shared" si="2"/>
        <v>1945</v>
      </c>
      <c r="I13" s="119">
        <f t="shared" si="2"/>
        <v>1741.95389</v>
      </c>
      <c r="J13" s="119">
        <f t="shared" si="0"/>
        <v>89.560611311053989</v>
      </c>
    </row>
    <row r="14" spans="1:10" s="175" customFormat="1" x14ac:dyDescent="0.2">
      <c r="A14" s="103" t="s">
        <v>108</v>
      </c>
      <c r="B14" s="104" t="s">
        <v>76</v>
      </c>
      <c r="C14" s="104" t="s">
        <v>477</v>
      </c>
      <c r="D14" s="104" t="s">
        <v>216</v>
      </c>
      <c r="E14" s="104"/>
      <c r="F14" s="105">
        <f t="shared" si="2"/>
        <v>2000</v>
      </c>
      <c r="G14" s="147">
        <f t="shared" si="3"/>
        <v>-55</v>
      </c>
      <c r="H14" s="105">
        <f t="shared" si="2"/>
        <v>1945</v>
      </c>
      <c r="I14" s="105">
        <f t="shared" si="2"/>
        <v>1741.95389</v>
      </c>
      <c r="J14" s="105">
        <f t="shared" si="0"/>
        <v>89.560611311053989</v>
      </c>
    </row>
    <row r="15" spans="1:10" s="175" customFormat="1" x14ac:dyDescent="0.2">
      <c r="A15" s="136" t="s">
        <v>303</v>
      </c>
      <c r="B15" s="132" t="s">
        <v>76</v>
      </c>
      <c r="C15" s="132" t="s">
        <v>477</v>
      </c>
      <c r="D15" s="132" t="s">
        <v>217</v>
      </c>
      <c r="E15" s="113"/>
      <c r="F15" s="137">
        <f t="shared" si="2"/>
        <v>2000</v>
      </c>
      <c r="G15" s="147">
        <f t="shared" si="3"/>
        <v>-55</v>
      </c>
      <c r="H15" s="137">
        <f t="shared" si="2"/>
        <v>1945</v>
      </c>
      <c r="I15" s="137">
        <f t="shared" si="2"/>
        <v>1741.95389</v>
      </c>
      <c r="J15" s="137">
        <f t="shared" si="0"/>
        <v>89.560611311053989</v>
      </c>
    </row>
    <row r="16" spans="1:10" s="175" customFormat="1" x14ac:dyDescent="0.2">
      <c r="A16" s="168" t="s">
        <v>30</v>
      </c>
      <c r="B16" s="169" t="s">
        <v>76</v>
      </c>
      <c r="C16" s="169" t="s">
        <v>477</v>
      </c>
      <c r="D16" s="169" t="s">
        <v>218</v>
      </c>
      <c r="E16" s="170"/>
      <c r="F16" s="105">
        <f t="shared" si="2"/>
        <v>2000</v>
      </c>
      <c r="G16" s="147">
        <f t="shared" si="3"/>
        <v>-55</v>
      </c>
      <c r="H16" s="105">
        <f>H17</f>
        <v>1945</v>
      </c>
      <c r="I16" s="105">
        <f t="shared" si="2"/>
        <v>1741.95389</v>
      </c>
      <c r="J16" s="105">
        <f t="shared" si="0"/>
        <v>89.560611311053989</v>
      </c>
    </row>
    <row r="17" spans="1:10" s="175" customFormat="1" ht="24" x14ac:dyDescent="0.2">
      <c r="A17" s="112" t="s">
        <v>79</v>
      </c>
      <c r="B17" s="113" t="s">
        <v>76</v>
      </c>
      <c r="C17" s="113" t="s">
        <v>477</v>
      </c>
      <c r="D17" s="113" t="s">
        <v>219</v>
      </c>
      <c r="E17" s="113" t="s">
        <v>80</v>
      </c>
      <c r="F17" s="114">
        <f t="shared" si="2"/>
        <v>2000</v>
      </c>
      <c r="G17" s="147">
        <f t="shared" si="3"/>
        <v>-55</v>
      </c>
      <c r="H17" s="114">
        <f t="shared" si="2"/>
        <v>1945</v>
      </c>
      <c r="I17" s="114">
        <f t="shared" si="2"/>
        <v>1741.95389</v>
      </c>
      <c r="J17" s="114">
        <f t="shared" si="0"/>
        <v>89.560611311053989</v>
      </c>
    </row>
    <row r="18" spans="1:10" s="175" customFormat="1" x14ac:dyDescent="0.2">
      <c r="A18" s="112" t="s">
        <v>81</v>
      </c>
      <c r="B18" s="113" t="s">
        <v>76</v>
      </c>
      <c r="C18" s="113" t="s">
        <v>477</v>
      </c>
      <c r="D18" s="113" t="s">
        <v>219</v>
      </c>
      <c r="E18" s="113" t="s">
        <v>82</v>
      </c>
      <c r="F18" s="114">
        <v>2000</v>
      </c>
      <c r="G18" s="147">
        <f t="shared" si="3"/>
        <v>-55</v>
      </c>
      <c r="H18" s="114">
        <f>2000-55</f>
        <v>1945</v>
      </c>
      <c r="I18" s="114">
        <v>1741.95389</v>
      </c>
      <c r="J18" s="114">
        <f t="shared" si="0"/>
        <v>89.560611311053989</v>
      </c>
    </row>
    <row r="19" spans="1:10" s="175" customFormat="1" ht="24" x14ac:dyDescent="0.2">
      <c r="A19" s="117" t="s">
        <v>768</v>
      </c>
      <c r="B19" s="118" t="s">
        <v>76</v>
      </c>
      <c r="C19" s="118" t="s">
        <v>477</v>
      </c>
      <c r="D19" s="118" t="s">
        <v>769</v>
      </c>
      <c r="E19" s="118"/>
      <c r="F19" s="119">
        <f t="shared" ref="F19:I20" si="4">F20</f>
        <v>195.3</v>
      </c>
      <c r="G19" s="119">
        <f t="shared" si="4"/>
        <v>195.3</v>
      </c>
      <c r="H19" s="119">
        <f t="shared" si="4"/>
        <v>195.3</v>
      </c>
      <c r="I19" s="119">
        <f t="shared" si="4"/>
        <v>195.3</v>
      </c>
      <c r="J19" s="119">
        <f t="shared" si="0"/>
        <v>100</v>
      </c>
    </row>
    <row r="20" spans="1:10" s="175" customFormat="1" ht="24" x14ac:dyDescent="0.2">
      <c r="A20" s="112" t="s">
        <v>79</v>
      </c>
      <c r="B20" s="113" t="s">
        <v>76</v>
      </c>
      <c r="C20" s="113" t="s">
        <v>477</v>
      </c>
      <c r="D20" s="113" t="s">
        <v>769</v>
      </c>
      <c r="E20" s="113" t="s">
        <v>80</v>
      </c>
      <c r="F20" s="114">
        <f t="shared" si="4"/>
        <v>195.3</v>
      </c>
      <c r="G20" s="114">
        <f t="shared" si="4"/>
        <v>195.3</v>
      </c>
      <c r="H20" s="114">
        <f t="shared" si="4"/>
        <v>195.3</v>
      </c>
      <c r="I20" s="114">
        <f t="shared" si="4"/>
        <v>195.3</v>
      </c>
      <c r="J20" s="114">
        <f t="shared" si="0"/>
        <v>100</v>
      </c>
    </row>
    <row r="21" spans="1:10" s="175" customFormat="1" x14ac:dyDescent="0.2">
      <c r="A21" s="112" t="s">
        <v>81</v>
      </c>
      <c r="B21" s="113" t="s">
        <v>76</v>
      </c>
      <c r="C21" s="113" t="s">
        <v>477</v>
      </c>
      <c r="D21" s="113" t="s">
        <v>769</v>
      </c>
      <c r="E21" s="113" t="s">
        <v>82</v>
      </c>
      <c r="F21" s="114">
        <v>195.3</v>
      </c>
      <c r="G21" s="114">
        <v>195.3</v>
      </c>
      <c r="H21" s="114">
        <v>195.3</v>
      </c>
      <c r="I21" s="114">
        <v>195.3</v>
      </c>
      <c r="J21" s="114">
        <f t="shared" si="0"/>
        <v>100</v>
      </c>
    </row>
    <row r="22" spans="1:10" s="175" customFormat="1" ht="24" x14ac:dyDescent="0.2">
      <c r="A22" s="103" t="s">
        <v>304</v>
      </c>
      <c r="B22" s="104" t="s">
        <v>76</v>
      </c>
      <c r="C22" s="104" t="s">
        <v>469</v>
      </c>
      <c r="D22" s="104"/>
      <c r="E22" s="104"/>
      <c r="F22" s="105">
        <f>F23+F28</f>
        <v>24792</v>
      </c>
      <c r="G22" s="147">
        <f t="shared" si="3"/>
        <v>810.70000000000073</v>
      </c>
      <c r="H22" s="105">
        <f>H23</f>
        <v>25602.7</v>
      </c>
      <c r="I22" s="105">
        <f>I23</f>
        <v>25008.12428</v>
      </c>
      <c r="J22" s="105">
        <f t="shared" ref="J22:J91" si="5">I22/H22*100</f>
        <v>97.677683525565655</v>
      </c>
    </row>
    <row r="23" spans="1:10" s="175" customFormat="1" ht="13.5" x14ac:dyDescent="0.2">
      <c r="A23" s="117" t="s">
        <v>29</v>
      </c>
      <c r="B23" s="118" t="s">
        <v>76</v>
      </c>
      <c r="C23" s="118" t="s">
        <v>469</v>
      </c>
      <c r="D23" s="144" t="s">
        <v>220</v>
      </c>
      <c r="E23" s="140"/>
      <c r="F23" s="119">
        <f>F24</f>
        <v>19762</v>
      </c>
      <c r="G23" s="147">
        <f t="shared" si="3"/>
        <v>5840.7000000000007</v>
      </c>
      <c r="H23" s="119">
        <f>H24</f>
        <v>25602.7</v>
      </c>
      <c r="I23" s="119">
        <f>I24</f>
        <v>25008.12428</v>
      </c>
      <c r="J23" s="119">
        <f t="shared" si="5"/>
        <v>97.677683525565655</v>
      </c>
    </row>
    <row r="24" spans="1:10" s="175" customFormat="1" x14ac:dyDescent="0.2">
      <c r="A24" s="103" t="s">
        <v>108</v>
      </c>
      <c r="B24" s="104" t="s">
        <v>76</v>
      </c>
      <c r="C24" s="104" t="s">
        <v>469</v>
      </c>
      <c r="D24" s="171" t="s">
        <v>137</v>
      </c>
      <c r="E24" s="143"/>
      <c r="F24" s="105">
        <f>F25</f>
        <v>19762</v>
      </c>
      <c r="G24" s="147">
        <f t="shared" si="3"/>
        <v>5840.7000000000007</v>
      </c>
      <c r="H24" s="105">
        <f>H25+H28</f>
        <v>25602.7</v>
      </c>
      <c r="I24" s="105">
        <f>I25+I28</f>
        <v>25008.12428</v>
      </c>
      <c r="J24" s="105">
        <f t="shared" si="5"/>
        <v>97.677683525565655</v>
      </c>
    </row>
    <row r="25" spans="1:10" s="175" customFormat="1" x14ac:dyDescent="0.2">
      <c r="A25" s="168" t="s">
        <v>30</v>
      </c>
      <c r="B25" s="169" t="s">
        <v>76</v>
      </c>
      <c r="C25" s="169" t="s">
        <v>469</v>
      </c>
      <c r="D25" s="169" t="s">
        <v>224</v>
      </c>
      <c r="E25" s="170"/>
      <c r="F25" s="105">
        <f>F26</f>
        <v>19762</v>
      </c>
      <c r="G25" s="147">
        <f t="shared" si="3"/>
        <v>55</v>
      </c>
      <c r="H25" s="105">
        <f>H26</f>
        <v>19817</v>
      </c>
      <c r="I25" s="105">
        <f t="shared" ref="I25:I26" si="6">I26</f>
        <v>19615.029340000001</v>
      </c>
      <c r="J25" s="105">
        <f t="shared" si="5"/>
        <v>98.980821214109099</v>
      </c>
    </row>
    <row r="26" spans="1:10" s="175" customFormat="1" ht="24" x14ac:dyDescent="0.2">
      <c r="A26" s="112" t="s">
        <v>79</v>
      </c>
      <c r="B26" s="113" t="s">
        <v>76</v>
      </c>
      <c r="C26" s="113" t="s">
        <v>469</v>
      </c>
      <c r="D26" s="113" t="s">
        <v>224</v>
      </c>
      <c r="E26" s="113" t="s">
        <v>80</v>
      </c>
      <c r="F26" s="114">
        <f>F27</f>
        <v>19762</v>
      </c>
      <c r="G26" s="147">
        <f t="shared" si="3"/>
        <v>55</v>
      </c>
      <c r="H26" s="114">
        <f>H27</f>
        <v>19817</v>
      </c>
      <c r="I26" s="114">
        <f t="shared" si="6"/>
        <v>19615.029340000001</v>
      </c>
      <c r="J26" s="114">
        <f t="shared" si="5"/>
        <v>98.980821214109099</v>
      </c>
    </row>
    <row r="27" spans="1:10" s="175" customFormat="1" x14ac:dyDescent="0.2">
      <c r="A27" s="112" t="s">
        <v>81</v>
      </c>
      <c r="B27" s="113" t="s">
        <v>76</v>
      </c>
      <c r="C27" s="113" t="s">
        <v>469</v>
      </c>
      <c r="D27" s="113" t="s">
        <v>224</v>
      </c>
      <c r="E27" s="113" t="s">
        <v>82</v>
      </c>
      <c r="F27" s="114">
        <f>14550+50+4380+62+720</f>
        <v>19762</v>
      </c>
      <c r="G27" s="147">
        <f t="shared" si="3"/>
        <v>55</v>
      </c>
      <c r="H27" s="114">
        <f>14550+50+4380+62+720+55</f>
        <v>19817</v>
      </c>
      <c r="I27" s="114">
        <v>19615.029340000001</v>
      </c>
      <c r="J27" s="114">
        <f t="shared" si="5"/>
        <v>98.980821214109099</v>
      </c>
    </row>
    <row r="28" spans="1:10" s="175" customFormat="1" x14ac:dyDescent="0.2">
      <c r="A28" s="103" t="s">
        <v>142</v>
      </c>
      <c r="B28" s="104" t="s">
        <v>76</v>
      </c>
      <c r="C28" s="104" t="s">
        <v>469</v>
      </c>
      <c r="D28" s="104" t="s">
        <v>225</v>
      </c>
      <c r="E28" s="113"/>
      <c r="F28" s="105">
        <f>F29+F31</f>
        <v>5030</v>
      </c>
      <c r="G28" s="147">
        <f t="shared" si="3"/>
        <v>755.69999999999982</v>
      </c>
      <c r="H28" s="105">
        <f>H29+H31</f>
        <v>5785.7</v>
      </c>
      <c r="I28" s="105">
        <f t="shared" ref="I28" si="7">I29+I31</f>
        <v>5393.09494</v>
      </c>
      <c r="J28" s="105">
        <f t="shared" si="5"/>
        <v>93.214216775843894</v>
      </c>
    </row>
    <row r="29" spans="1:10" s="175" customFormat="1" x14ac:dyDescent="0.2">
      <c r="A29" s="112" t="s">
        <v>294</v>
      </c>
      <c r="B29" s="113" t="s">
        <v>76</v>
      </c>
      <c r="C29" s="113" t="s">
        <v>469</v>
      </c>
      <c r="D29" s="113" t="s">
        <v>225</v>
      </c>
      <c r="E29" s="113" t="s">
        <v>84</v>
      </c>
      <c r="F29" s="114">
        <f>F30</f>
        <v>5005</v>
      </c>
      <c r="G29" s="147">
        <f t="shared" si="3"/>
        <v>755.69999999999982</v>
      </c>
      <c r="H29" s="114">
        <f>H30</f>
        <v>5760.7</v>
      </c>
      <c r="I29" s="114">
        <f t="shared" ref="I29" si="8">I30</f>
        <v>5381.9849400000003</v>
      </c>
      <c r="J29" s="114">
        <f t="shared" si="5"/>
        <v>93.425884701511976</v>
      </c>
    </row>
    <row r="30" spans="1:10" s="175" customFormat="1" x14ac:dyDescent="0.2">
      <c r="A30" s="112" t="s">
        <v>85</v>
      </c>
      <c r="B30" s="113" t="s">
        <v>76</v>
      </c>
      <c r="C30" s="113" t="s">
        <v>469</v>
      </c>
      <c r="D30" s="113" t="s">
        <v>225</v>
      </c>
      <c r="E30" s="113" t="s">
        <v>86</v>
      </c>
      <c r="F30" s="114">
        <f>800+200+390+25+1950+1640</f>
        <v>5005</v>
      </c>
      <c r="G30" s="147">
        <f t="shared" si="3"/>
        <v>755.69999999999982</v>
      </c>
      <c r="H30" s="114">
        <f>800+200+390+25+1950+1640+515.7+240</f>
        <v>5760.7</v>
      </c>
      <c r="I30" s="114">
        <v>5381.9849400000003</v>
      </c>
      <c r="J30" s="114">
        <f t="shared" si="5"/>
        <v>93.425884701511976</v>
      </c>
    </row>
    <row r="31" spans="1:10" s="175" customFormat="1" x14ac:dyDescent="0.2">
      <c r="A31" s="112" t="s">
        <v>87</v>
      </c>
      <c r="B31" s="113" t="s">
        <v>76</v>
      </c>
      <c r="C31" s="113" t="s">
        <v>469</v>
      </c>
      <c r="D31" s="113" t="s">
        <v>225</v>
      </c>
      <c r="E31" s="113" t="s">
        <v>88</v>
      </c>
      <c r="F31" s="114">
        <f>F32</f>
        <v>25</v>
      </c>
      <c r="G31" s="147">
        <f t="shared" si="3"/>
        <v>0</v>
      </c>
      <c r="H31" s="114">
        <f>H32</f>
        <v>25</v>
      </c>
      <c r="I31" s="114">
        <f t="shared" ref="I31" si="9">I32</f>
        <v>11.11</v>
      </c>
      <c r="J31" s="114">
        <f t="shared" si="5"/>
        <v>44.44</v>
      </c>
    </row>
    <row r="32" spans="1:10" s="175" customFormat="1" x14ac:dyDescent="0.2">
      <c r="A32" s="112" t="s">
        <v>500</v>
      </c>
      <c r="B32" s="113" t="s">
        <v>76</v>
      </c>
      <c r="C32" s="113" t="s">
        <v>469</v>
      </c>
      <c r="D32" s="113" t="s">
        <v>225</v>
      </c>
      <c r="E32" s="113" t="s">
        <v>89</v>
      </c>
      <c r="F32" s="114">
        <v>25</v>
      </c>
      <c r="G32" s="147">
        <f t="shared" si="3"/>
        <v>0</v>
      </c>
      <c r="H32" s="114">
        <v>25</v>
      </c>
      <c r="I32" s="114">
        <v>11.11</v>
      </c>
      <c r="J32" s="114">
        <f t="shared" si="5"/>
        <v>44.44</v>
      </c>
    </row>
    <row r="33" spans="1:10" s="175" customFormat="1" ht="24" x14ac:dyDescent="0.2">
      <c r="A33" s="158" t="s">
        <v>305</v>
      </c>
      <c r="B33" s="104" t="s">
        <v>76</v>
      </c>
      <c r="C33" s="104" t="s">
        <v>78</v>
      </c>
      <c r="D33" s="104"/>
      <c r="E33" s="104"/>
      <c r="F33" s="147">
        <f>F34+F40</f>
        <v>135286</v>
      </c>
      <c r="G33" s="147">
        <f t="shared" si="3"/>
        <v>1772.0293200000015</v>
      </c>
      <c r="H33" s="147">
        <f>H34+H40</f>
        <v>137058.02932</v>
      </c>
      <c r="I33" s="147">
        <f t="shared" ref="I33" si="10">I34+I40</f>
        <v>130305.17815000001</v>
      </c>
      <c r="J33" s="105">
        <f t="shared" si="5"/>
        <v>95.072998493044437</v>
      </c>
    </row>
    <row r="34" spans="1:10" s="175" customFormat="1" x14ac:dyDescent="0.2">
      <c r="A34" s="138" t="s">
        <v>74</v>
      </c>
      <c r="B34" s="118" t="s">
        <v>76</v>
      </c>
      <c r="C34" s="118" t="s">
        <v>78</v>
      </c>
      <c r="D34" s="118" t="s">
        <v>206</v>
      </c>
      <c r="E34" s="118"/>
      <c r="F34" s="119">
        <f>F35</f>
        <v>1870</v>
      </c>
      <c r="G34" s="147">
        <f t="shared" si="3"/>
        <v>-142.85913000000005</v>
      </c>
      <c r="H34" s="119">
        <f>H35</f>
        <v>1727.1408699999999</v>
      </c>
      <c r="I34" s="119">
        <f t="shared" ref="I34:I38" si="11">I35</f>
        <v>1727.1386199999999</v>
      </c>
      <c r="J34" s="119">
        <f t="shared" si="5"/>
        <v>99.999869726897259</v>
      </c>
    </row>
    <row r="35" spans="1:10" s="175" customFormat="1" x14ac:dyDescent="0.2">
      <c r="A35" s="120" t="s">
        <v>297</v>
      </c>
      <c r="B35" s="104" t="s">
        <v>76</v>
      </c>
      <c r="C35" s="104" t="s">
        <v>78</v>
      </c>
      <c r="D35" s="104" t="s">
        <v>207</v>
      </c>
      <c r="E35" s="104"/>
      <c r="F35" s="105">
        <f>F36</f>
        <v>1870</v>
      </c>
      <c r="G35" s="147">
        <f t="shared" si="3"/>
        <v>-142.85913000000005</v>
      </c>
      <c r="H35" s="105">
        <f>H36</f>
        <v>1727.1408699999999</v>
      </c>
      <c r="I35" s="105">
        <f t="shared" si="11"/>
        <v>1727.1386199999999</v>
      </c>
      <c r="J35" s="105">
        <f t="shared" si="5"/>
        <v>99.999869726897259</v>
      </c>
    </row>
    <row r="36" spans="1:10" s="175" customFormat="1" x14ac:dyDescent="0.2">
      <c r="A36" s="117" t="s">
        <v>306</v>
      </c>
      <c r="B36" s="118" t="s">
        <v>76</v>
      </c>
      <c r="C36" s="118" t="s">
        <v>78</v>
      </c>
      <c r="D36" s="118" t="s">
        <v>207</v>
      </c>
      <c r="E36" s="132"/>
      <c r="F36" s="119">
        <f>F37</f>
        <v>1870</v>
      </c>
      <c r="G36" s="147">
        <f t="shared" si="3"/>
        <v>-142.85913000000005</v>
      </c>
      <c r="H36" s="119">
        <f>H37</f>
        <v>1727.1408699999999</v>
      </c>
      <c r="I36" s="119">
        <f t="shared" si="11"/>
        <v>1727.1386199999999</v>
      </c>
      <c r="J36" s="119">
        <f t="shared" si="5"/>
        <v>99.999869726897259</v>
      </c>
    </row>
    <row r="37" spans="1:10" s="175" customFormat="1" x14ac:dyDescent="0.2">
      <c r="A37" s="120" t="s">
        <v>296</v>
      </c>
      <c r="B37" s="104" t="s">
        <v>76</v>
      </c>
      <c r="C37" s="104" t="s">
        <v>78</v>
      </c>
      <c r="D37" s="104" t="s">
        <v>208</v>
      </c>
      <c r="E37" s="104"/>
      <c r="F37" s="105">
        <f>F38</f>
        <v>1870</v>
      </c>
      <c r="G37" s="147">
        <f t="shared" si="3"/>
        <v>-142.85913000000005</v>
      </c>
      <c r="H37" s="105">
        <f>H38</f>
        <v>1727.1408699999999</v>
      </c>
      <c r="I37" s="105">
        <f t="shared" si="11"/>
        <v>1727.1386199999999</v>
      </c>
      <c r="J37" s="105">
        <f t="shared" si="5"/>
        <v>99.999869726897259</v>
      </c>
    </row>
    <row r="38" spans="1:10" s="175" customFormat="1" ht="24" x14ac:dyDescent="0.2">
      <c r="A38" s="112" t="s">
        <v>79</v>
      </c>
      <c r="B38" s="113" t="s">
        <v>76</v>
      </c>
      <c r="C38" s="113" t="s">
        <v>78</v>
      </c>
      <c r="D38" s="113" t="s">
        <v>208</v>
      </c>
      <c r="E38" s="113" t="s">
        <v>80</v>
      </c>
      <c r="F38" s="114">
        <f>F39</f>
        <v>1870</v>
      </c>
      <c r="G38" s="147">
        <f t="shared" si="3"/>
        <v>-142.85913000000005</v>
      </c>
      <c r="H38" s="114">
        <f>H39</f>
        <v>1727.1408699999999</v>
      </c>
      <c r="I38" s="114">
        <f t="shared" si="11"/>
        <v>1727.1386199999999</v>
      </c>
      <c r="J38" s="114">
        <f t="shared" si="5"/>
        <v>99.999869726897259</v>
      </c>
    </row>
    <row r="39" spans="1:10" s="175" customFormat="1" x14ac:dyDescent="0.2">
      <c r="A39" s="112" t="s">
        <v>81</v>
      </c>
      <c r="B39" s="113" t="s">
        <v>76</v>
      </c>
      <c r="C39" s="113" t="s">
        <v>78</v>
      </c>
      <c r="D39" s="113" t="s">
        <v>208</v>
      </c>
      <c r="E39" s="113" t="s">
        <v>82</v>
      </c>
      <c r="F39" s="114">
        <v>1870</v>
      </c>
      <c r="G39" s="147">
        <f t="shared" si="3"/>
        <v>-142.85913000000005</v>
      </c>
      <c r="H39" s="114">
        <f>1870-142.85913</f>
        <v>1727.1408699999999</v>
      </c>
      <c r="I39" s="114">
        <v>1727.1386199999999</v>
      </c>
      <c r="J39" s="114">
        <f t="shared" si="5"/>
        <v>99.999869726897259</v>
      </c>
    </row>
    <row r="40" spans="1:10" s="175" customFormat="1" x14ac:dyDescent="0.2">
      <c r="A40" s="138" t="s">
        <v>74</v>
      </c>
      <c r="B40" s="118" t="s">
        <v>76</v>
      </c>
      <c r="C40" s="118" t="s">
        <v>78</v>
      </c>
      <c r="D40" s="118" t="s">
        <v>209</v>
      </c>
      <c r="E40" s="118"/>
      <c r="F40" s="119">
        <f>F41</f>
        <v>133416</v>
      </c>
      <c r="G40" s="147">
        <f t="shared" si="3"/>
        <v>1914.8884499999986</v>
      </c>
      <c r="H40" s="119">
        <f>H41</f>
        <v>135330.88845</v>
      </c>
      <c r="I40" s="119">
        <f t="shared" ref="I40" si="12">I41</f>
        <v>128578.03953000001</v>
      </c>
      <c r="J40" s="119">
        <f t="shared" si="5"/>
        <v>95.010120012258</v>
      </c>
    </row>
    <row r="41" spans="1:10" s="175" customFormat="1" x14ac:dyDescent="0.2">
      <c r="A41" s="120" t="s">
        <v>297</v>
      </c>
      <c r="B41" s="104" t="s">
        <v>76</v>
      </c>
      <c r="C41" s="104" t="s">
        <v>78</v>
      </c>
      <c r="D41" s="104" t="s">
        <v>210</v>
      </c>
      <c r="E41" s="118"/>
      <c r="F41" s="105">
        <f>F42+F45</f>
        <v>133416</v>
      </c>
      <c r="G41" s="147">
        <f t="shared" si="3"/>
        <v>1914.8884499999986</v>
      </c>
      <c r="H41" s="105">
        <f>H42+H45+H50</f>
        <v>135330.88845</v>
      </c>
      <c r="I41" s="105">
        <f>I42+I45+I50</f>
        <v>128578.03953000001</v>
      </c>
      <c r="J41" s="105">
        <f t="shared" si="5"/>
        <v>95.010120012258</v>
      </c>
    </row>
    <row r="42" spans="1:10" s="175" customFormat="1" x14ac:dyDescent="0.2">
      <c r="A42" s="120" t="s">
        <v>26</v>
      </c>
      <c r="B42" s="104" t="s">
        <v>76</v>
      </c>
      <c r="C42" s="104" t="s">
        <v>78</v>
      </c>
      <c r="D42" s="104" t="s">
        <v>211</v>
      </c>
      <c r="E42" s="104"/>
      <c r="F42" s="105">
        <f>F43</f>
        <v>109840</v>
      </c>
      <c r="G42" s="147">
        <f t="shared" si="3"/>
        <v>1091.3735100000049</v>
      </c>
      <c r="H42" s="105">
        <f>H43</f>
        <v>110931.37351</v>
      </c>
      <c r="I42" s="105">
        <f t="shared" ref="I42:I43" si="13">I43</f>
        <v>109606.24523</v>
      </c>
      <c r="J42" s="105">
        <f t="shared" si="5"/>
        <v>98.805452201598726</v>
      </c>
    </row>
    <row r="43" spans="1:10" s="175" customFormat="1" ht="24" x14ac:dyDescent="0.2">
      <c r="A43" s="112" t="s">
        <v>79</v>
      </c>
      <c r="B43" s="113" t="s">
        <v>76</v>
      </c>
      <c r="C43" s="113" t="s">
        <v>78</v>
      </c>
      <c r="D43" s="113" t="s">
        <v>211</v>
      </c>
      <c r="E43" s="113" t="s">
        <v>80</v>
      </c>
      <c r="F43" s="114">
        <f>F44</f>
        <v>109840</v>
      </c>
      <c r="G43" s="147">
        <f t="shared" si="3"/>
        <v>1091.3735100000049</v>
      </c>
      <c r="H43" s="114">
        <f>H44</f>
        <v>110931.37351</v>
      </c>
      <c r="I43" s="114">
        <f t="shared" si="13"/>
        <v>109606.24523</v>
      </c>
      <c r="J43" s="114">
        <f t="shared" si="5"/>
        <v>98.805452201598726</v>
      </c>
    </row>
    <row r="44" spans="1:10" s="175" customFormat="1" x14ac:dyDescent="0.2">
      <c r="A44" s="112" t="s">
        <v>81</v>
      </c>
      <c r="B44" s="113" t="s">
        <v>76</v>
      </c>
      <c r="C44" s="113" t="s">
        <v>78</v>
      </c>
      <c r="D44" s="113" t="s">
        <v>211</v>
      </c>
      <c r="E44" s="113" t="s">
        <v>82</v>
      </c>
      <c r="F44" s="114">
        <v>109840</v>
      </c>
      <c r="G44" s="147">
        <f t="shared" si="3"/>
        <v>1091.3735100000049</v>
      </c>
      <c r="H44" s="114">
        <f>109840+192.58616+361+550-3462.21265+100+3350</f>
        <v>110931.37351</v>
      </c>
      <c r="I44" s="114">
        <v>109606.24523</v>
      </c>
      <c r="J44" s="114">
        <f t="shared" si="5"/>
        <v>98.805452201598726</v>
      </c>
    </row>
    <row r="45" spans="1:10" s="175" customFormat="1" x14ac:dyDescent="0.2">
      <c r="A45" s="103" t="s">
        <v>83</v>
      </c>
      <c r="B45" s="104" t="s">
        <v>76</v>
      </c>
      <c r="C45" s="104" t="s">
        <v>78</v>
      </c>
      <c r="D45" s="104" t="s">
        <v>212</v>
      </c>
      <c r="E45" s="104"/>
      <c r="F45" s="105">
        <f>F46+F48</f>
        <v>23576</v>
      </c>
      <c r="G45" s="147">
        <f t="shared" si="3"/>
        <v>-2735.5</v>
      </c>
      <c r="H45" s="105">
        <f>H46+H48</f>
        <v>20840.5</v>
      </c>
      <c r="I45" s="105">
        <f t="shared" ref="I45" si="14">I46+I48</f>
        <v>15425.82936</v>
      </c>
      <c r="J45" s="105">
        <f t="shared" si="5"/>
        <v>74.018518557616176</v>
      </c>
    </row>
    <row r="46" spans="1:10" s="175" customFormat="1" x14ac:dyDescent="0.2">
      <c r="A46" s="112" t="s">
        <v>294</v>
      </c>
      <c r="B46" s="113" t="s">
        <v>76</v>
      </c>
      <c r="C46" s="113" t="s">
        <v>78</v>
      </c>
      <c r="D46" s="113" t="s">
        <v>212</v>
      </c>
      <c r="E46" s="113" t="s">
        <v>84</v>
      </c>
      <c r="F46" s="114">
        <f>F47</f>
        <v>22745</v>
      </c>
      <c r="G46" s="147">
        <f t="shared" si="3"/>
        <v>-3241.5</v>
      </c>
      <c r="H46" s="114">
        <f>H47</f>
        <v>19503.5</v>
      </c>
      <c r="I46" s="114">
        <f t="shared" ref="I46" si="15">I47</f>
        <v>14179.232190000001</v>
      </c>
      <c r="J46" s="105">
        <f t="shared" si="5"/>
        <v>72.700962340092815</v>
      </c>
    </row>
    <row r="47" spans="1:10" s="175" customFormat="1" x14ac:dyDescent="0.2">
      <c r="A47" s="112" t="s">
        <v>85</v>
      </c>
      <c r="B47" s="113" t="s">
        <v>76</v>
      </c>
      <c r="C47" s="113" t="s">
        <v>78</v>
      </c>
      <c r="D47" s="113" t="s">
        <v>212</v>
      </c>
      <c r="E47" s="113" t="s">
        <v>86</v>
      </c>
      <c r="F47" s="114">
        <v>22745</v>
      </c>
      <c r="G47" s="147">
        <f t="shared" si="3"/>
        <v>-3241.5</v>
      </c>
      <c r="H47" s="114">
        <f>22745+300-265-50+20+50+7.5+3+17+16+10-3350</f>
        <v>19503.5</v>
      </c>
      <c r="I47" s="114">
        <v>14179.232190000001</v>
      </c>
      <c r="J47" s="105">
        <f t="shared" si="5"/>
        <v>72.700962340092815</v>
      </c>
    </row>
    <row r="48" spans="1:10" s="175" customFormat="1" x14ac:dyDescent="0.2">
      <c r="A48" s="112" t="s">
        <v>87</v>
      </c>
      <c r="B48" s="113" t="s">
        <v>76</v>
      </c>
      <c r="C48" s="113" t="s">
        <v>78</v>
      </c>
      <c r="D48" s="113" t="s">
        <v>212</v>
      </c>
      <c r="E48" s="113" t="s">
        <v>88</v>
      </c>
      <c r="F48" s="114">
        <f>F49</f>
        <v>831</v>
      </c>
      <c r="G48" s="147">
        <f t="shared" si="3"/>
        <v>506</v>
      </c>
      <c r="H48" s="114">
        <f>H49</f>
        <v>1337</v>
      </c>
      <c r="I48" s="114">
        <f t="shared" ref="I48" si="16">I49</f>
        <v>1246.59717</v>
      </c>
      <c r="J48" s="114">
        <f t="shared" si="5"/>
        <v>93.238382198952891</v>
      </c>
    </row>
    <row r="49" spans="1:10" s="175" customFormat="1" x14ac:dyDescent="0.2">
      <c r="A49" s="112" t="s">
        <v>500</v>
      </c>
      <c r="B49" s="113" t="s">
        <v>76</v>
      </c>
      <c r="C49" s="113" t="s">
        <v>78</v>
      </c>
      <c r="D49" s="113" t="s">
        <v>212</v>
      </c>
      <c r="E49" s="113" t="s">
        <v>89</v>
      </c>
      <c r="F49" s="114">
        <v>831</v>
      </c>
      <c r="G49" s="147">
        <f t="shared" si="3"/>
        <v>506</v>
      </c>
      <c r="H49" s="114">
        <f>831+500-8.323+40-25.677</f>
        <v>1337</v>
      </c>
      <c r="I49" s="114">
        <v>1246.59717</v>
      </c>
      <c r="J49" s="114">
        <f t="shared" si="5"/>
        <v>93.238382198952891</v>
      </c>
    </row>
    <row r="50" spans="1:10" s="175" customFormat="1" ht="24" x14ac:dyDescent="0.2">
      <c r="A50" s="117" t="s">
        <v>768</v>
      </c>
      <c r="B50" s="104" t="s">
        <v>76</v>
      </c>
      <c r="C50" s="104" t="s">
        <v>78</v>
      </c>
      <c r="D50" s="118" t="s">
        <v>769</v>
      </c>
      <c r="E50" s="118"/>
      <c r="F50" s="119">
        <f t="shared" ref="F50:I51" si="17">F51</f>
        <v>195.3</v>
      </c>
      <c r="G50" s="119">
        <f t="shared" si="17"/>
        <v>195.3</v>
      </c>
      <c r="H50" s="119">
        <f t="shared" si="17"/>
        <v>3559.01494</v>
      </c>
      <c r="I50" s="119">
        <f t="shared" si="17"/>
        <v>3545.9649399999998</v>
      </c>
      <c r="J50" s="119">
        <f t="shared" si="5"/>
        <v>99.633325506635828</v>
      </c>
    </row>
    <row r="51" spans="1:10" s="175" customFormat="1" ht="24" x14ac:dyDescent="0.2">
      <c r="A51" s="112" t="s">
        <v>79</v>
      </c>
      <c r="B51" s="113" t="s">
        <v>76</v>
      </c>
      <c r="C51" s="113" t="s">
        <v>78</v>
      </c>
      <c r="D51" s="113" t="s">
        <v>769</v>
      </c>
      <c r="E51" s="113" t="s">
        <v>80</v>
      </c>
      <c r="F51" s="114">
        <f t="shared" si="17"/>
        <v>195.3</v>
      </c>
      <c r="G51" s="114">
        <f t="shared" si="17"/>
        <v>195.3</v>
      </c>
      <c r="H51" s="114">
        <f t="shared" si="17"/>
        <v>3559.01494</v>
      </c>
      <c r="I51" s="114">
        <f t="shared" si="17"/>
        <v>3545.9649399999998</v>
      </c>
      <c r="J51" s="114">
        <f t="shared" si="5"/>
        <v>99.633325506635828</v>
      </c>
    </row>
    <row r="52" spans="1:10" s="175" customFormat="1" x14ac:dyDescent="0.2">
      <c r="A52" s="112" t="s">
        <v>81</v>
      </c>
      <c r="B52" s="113" t="s">
        <v>76</v>
      </c>
      <c r="C52" s="113" t="s">
        <v>78</v>
      </c>
      <c r="D52" s="113" t="s">
        <v>769</v>
      </c>
      <c r="E52" s="113" t="s">
        <v>82</v>
      </c>
      <c r="F52" s="114">
        <v>195.3</v>
      </c>
      <c r="G52" s="114">
        <v>195.3</v>
      </c>
      <c r="H52" s="114">
        <v>3559.01494</v>
      </c>
      <c r="I52" s="114">
        <v>3545.9649399999998</v>
      </c>
      <c r="J52" s="114">
        <f t="shared" si="5"/>
        <v>99.633325506635828</v>
      </c>
    </row>
    <row r="53" spans="1:10" s="175" customFormat="1" x14ac:dyDescent="0.2">
      <c r="A53" s="103" t="s">
        <v>438</v>
      </c>
      <c r="B53" s="104" t="s">
        <v>76</v>
      </c>
      <c r="C53" s="104" t="s">
        <v>416</v>
      </c>
      <c r="D53" s="104"/>
      <c r="E53" s="104"/>
      <c r="F53" s="105">
        <f>F54</f>
        <v>189.5</v>
      </c>
      <c r="G53" s="147">
        <f t="shared" si="3"/>
        <v>0</v>
      </c>
      <c r="H53" s="105">
        <f>H54</f>
        <v>189.5</v>
      </c>
      <c r="I53" s="287">
        <f t="shared" ref="I53:I57" si="18">I54</f>
        <v>0</v>
      </c>
      <c r="J53" s="287">
        <f t="shared" si="5"/>
        <v>0</v>
      </c>
    </row>
    <row r="54" spans="1:10" s="175" customFormat="1" x14ac:dyDescent="0.2">
      <c r="A54" s="138" t="s">
        <v>74</v>
      </c>
      <c r="B54" s="118" t="s">
        <v>76</v>
      </c>
      <c r="C54" s="118" t="s">
        <v>416</v>
      </c>
      <c r="D54" s="118" t="s">
        <v>209</v>
      </c>
      <c r="E54" s="113"/>
      <c r="F54" s="119">
        <f>F55</f>
        <v>189.5</v>
      </c>
      <c r="G54" s="147">
        <f t="shared" si="3"/>
        <v>0</v>
      </c>
      <c r="H54" s="119">
        <f>H55</f>
        <v>189.5</v>
      </c>
      <c r="I54" s="288">
        <f t="shared" si="18"/>
        <v>0</v>
      </c>
      <c r="J54" s="287">
        <f t="shared" si="5"/>
        <v>0</v>
      </c>
    </row>
    <row r="55" spans="1:10" s="175" customFormat="1" x14ac:dyDescent="0.2">
      <c r="A55" s="120" t="s">
        <v>297</v>
      </c>
      <c r="B55" s="104" t="s">
        <v>76</v>
      </c>
      <c r="C55" s="104" t="s">
        <v>416</v>
      </c>
      <c r="D55" s="104" t="s">
        <v>210</v>
      </c>
      <c r="E55" s="113"/>
      <c r="F55" s="105">
        <f>F56</f>
        <v>189.5</v>
      </c>
      <c r="G55" s="147">
        <f t="shared" si="3"/>
        <v>0</v>
      </c>
      <c r="H55" s="105">
        <f>H56</f>
        <v>189.5</v>
      </c>
      <c r="I55" s="287">
        <f t="shared" si="18"/>
        <v>0</v>
      </c>
      <c r="J55" s="287">
        <f t="shared" si="5"/>
        <v>0</v>
      </c>
    </row>
    <row r="56" spans="1:10" s="175" customFormat="1" ht="24" x14ac:dyDescent="0.2">
      <c r="A56" s="103" t="s">
        <v>441</v>
      </c>
      <c r="B56" s="104" t="s">
        <v>76</v>
      </c>
      <c r="C56" s="104" t="s">
        <v>416</v>
      </c>
      <c r="D56" s="104" t="s">
        <v>344</v>
      </c>
      <c r="E56" s="104"/>
      <c r="F56" s="105">
        <f>F57</f>
        <v>189.5</v>
      </c>
      <c r="G56" s="147">
        <f t="shared" si="3"/>
        <v>0</v>
      </c>
      <c r="H56" s="105">
        <f>H57</f>
        <v>189.5</v>
      </c>
      <c r="I56" s="287">
        <f t="shared" si="18"/>
        <v>0</v>
      </c>
      <c r="J56" s="287">
        <f t="shared" si="5"/>
        <v>0</v>
      </c>
    </row>
    <row r="57" spans="1:10" s="175" customFormat="1" x14ac:dyDescent="0.2">
      <c r="A57" s="112" t="s">
        <v>294</v>
      </c>
      <c r="B57" s="113" t="s">
        <v>76</v>
      </c>
      <c r="C57" s="113" t="s">
        <v>416</v>
      </c>
      <c r="D57" s="113" t="s">
        <v>344</v>
      </c>
      <c r="E57" s="113" t="s">
        <v>84</v>
      </c>
      <c r="F57" s="114">
        <f>F58</f>
        <v>189.5</v>
      </c>
      <c r="G57" s="147">
        <f t="shared" si="3"/>
        <v>0</v>
      </c>
      <c r="H57" s="114">
        <f>H58</f>
        <v>189.5</v>
      </c>
      <c r="I57" s="212">
        <f t="shared" si="18"/>
        <v>0</v>
      </c>
      <c r="J57" s="287">
        <f t="shared" si="5"/>
        <v>0</v>
      </c>
    </row>
    <row r="58" spans="1:10" s="175" customFormat="1" x14ac:dyDescent="0.2">
      <c r="A58" s="112" t="s">
        <v>85</v>
      </c>
      <c r="B58" s="113" t="s">
        <v>76</v>
      </c>
      <c r="C58" s="113" t="s">
        <v>416</v>
      </c>
      <c r="D58" s="113" t="s">
        <v>344</v>
      </c>
      <c r="E58" s="113" t="s">
        <v>86</v>
      </c>
      <c r="F58" s="114">
        <v>189.5</v>
      </c>
      <c r="G58" s="147">
        <f t="shared" si="3"/>
        <v>0</v>
      </c>
      <c r="H58" s="114">
        <v>189.5</v>
      </c>
      <c r="I58" s="212">
        <v>0</v>
      </c>
      <c r="J58" s="287">
        <f t="shared" si="5"/>
        <v>0</v>
      </c>
    </row>
    <row r="59" spans="1:10" s="175" customFormat="1" ht="24" x14ac:dyDescent="0.2">
      <c r="A59" s="103" t="s">
        <v>308</v>
      </c>
      <c r="B59" s="104" t="s">
        <v>76</v>
      </c>
      <c r="C59" s="104" t="s">
        <v>295</v>
      </c>
      <c r="D59" s="104"/>
      <c r="E59" s="104"/>
      <c r="F59" s="105">
        <f>F60+F70</f>
        <v>31755.599999999999</v>
      </c>
      <c r="G59" s="147">
        <f t="shared" si="3"/>
        <v>399.25144</v>
      </c>
      <c r="H59" s="105">
        <f>H60+H70</f>
        <v>32154.851439999999</v>
      </c>
      <c r="I59" s="105">
        <f t="shared" ref="I59" si="19">I60+I70</f>
        <v>29632.52637</v>
      </c>
      <c r="J59" s="105">
        <f t="shared" si="5"/>
        <v>92.155693598191291</v>
      </c>
    </row>
    <row r="60" spans="1:10" s="175" customFormat="1" ht="24" x14ac:dyDescent="0.2">
      <c r="A60" s="138" t="s">
        <v>376</v>
      </c>
      <c r="B60" s="118" t="s">
        <v>76</v>
      </c>
      <c r="C60" s="118" t="s">
        <v>295</v>
      </c>
      <c r="D60" s="118" t="s">
        <v>227</v>
      </c>
      <c r="E60" s="132"/>
      <c r="F60" s="119">
        <f>F61</f>
        <v>15176</v>
      </c>
      <c r="G60" s="147">
        <f t="shared" si="3"/>
        <v>-5</v>
      </c>
      <c r="H60" s="119">
        <f>H61</f>
        <v>15171</v>
      </c>
      <c r="I60" s="119">
        <f t="shared" ref="I60" si="20">I61</f>
        <v>13648.229729999999</v>
      </c>
      <c r="J60" s="105">
        <f t="shared" si="5"/>
        <v>89.962624283171834</v>
      </c>
    </row>
    <row r="61" spans="1:10" s="175" customFormat="1" x14ac:dyDescent="0.2">
      <c r="A61" s="120" t="s">
        <v>297</v>
      </c>
      <c r="B61" s="104" t="s">
        <v>76</v>
      </c>
      <c r="C61" s="104" t="s">
        <v>295</v>
      </c>
      <c r="D61" s="104" t="s">
        <v>228</v>
      </c>
      <c r="E61" s="104"/>
      <c r="F61" s="105">
        <f>F62+F65</f>
        <v>15176</v>
      </c>
      <c r="G61" s="147">
        <f t="shared" si="3"/>
        <v>-5</v>
      </c>
      <c r="H61" s="105">
        <f>H62+H65</f>
        <v>15171</v>
      </c>
      <c r="I61" s="105">
        <f t="shared" ref="I61" si="21">I62+I65</f>
        <v>13648.229729999999</v>
      </c>
      <c r="J61" s="105">
        <f t="shared" si="5"/>
        <v>89.962624283171834</v>
      </c>
    </row>
    <row r="62" spans="1:10" s="175" customFormat="1" ht="24" x14ac:dyDescent="0.2">
      <c r="A62" s="120" t="s">
        <v>37</v>
      </c>
      <c r="B62" s="104" t="s">
        <v>76</v>
      </c>
      <c r="C62" s="104" t="s">
        <v>295</v>
      </c>
      <c r="D62" s="104" t="s">
        <v>229</v>
      </c>
      <c r="E62" s="104"/>
      <c r="F62" s="105">
        <f>F63</f>
        <v>13120</v>
      </c>
      <c r="G62" s="147">
        <f t="shared" si="3"/>
        <v>0</v>
      </c>
      <c r="H62" s="105">
        <f>H63</f>
        <v>13120</v>
      </c>
      <c r="I62" s="105">
        <f t="shared" ref="I62:I63" si="22">I63</f>
        <v>12015.36357</v>
      </c>
      <c r="J62" s="105">
        <f t="shared" si="5"/>
        <v>91.580515015243904</v>
      </c>
    </row>
    <row r="63" spans="1:10" s="175" customFormat="1" ht="24" x14ac:dyDescent="0.2">
      <c r="A63" s="112" t="s">
        <v>79</v>
      </c>
      <c r="B63" s="113" t="s">
        <v>76</v>
      </c>
      <c r="C63" s="113" t="s">
        <v>295</v>
      </c>
      <c r="D63" s="113" t="s">
        <v>229</v>
      </c>
      <c r="E63" s="113" t="s">
        <v>80</v>
      </c>
      <c r="F63" s="114">
        <f>F64</f>
        <v>13120</v>
      </c>
      <c r="G63" s="147">
        <f t="shared" si="3"/>
        <v>0</v>
      </c>
      <c r="H63" s="114">
        <f>H64</f>
        <v>13120</v>
      </c>
      <c r="I63" s="114">
        <f t="shared" si="22"/>
        <v>12015.36357</v>
      </c>
      <c r="J63" s="114">
        <f t="shared" si="5"/>
        <v>91.580515015243904</v>
      </c>
    </row>
    <row r="64" spans="1:10" s="175" customFormat="1" x14ac:dyDescent="0.2">
      <c r="A64" s="112" t="s">
        <v>81</v>
      </c>
      <c r="B64" s="113" t="s">
        <v>76</v>
      </c>
      <c r="C64" s="113" t="s">
        <v>295</v>
      </c>
      <c r="D64" s="113" t="s">
        <v>229</v>
      </c>
      <c r="E64" s="113" t="s">
        <v>82</v>
      </c>
      <c r="F64" s="114">
        <f>10060+40+3000+20</f>
        <v>13120</v>
      </c>
      <c r="G64" s="147">
        <f t="shared" si="3"/>
        <v>0</v>
      </c>
      <c r="H64" s="114">
        <f>10060+40+3000+20</f>
        <v>13120</v>
      </c>
      <c r="I64" s="114">
        <v>12015.36357</v>
      </c>
      <c r="J64" s="114">
        <f t="shared" si="5"/>
        <v>91.580515015243904</v>
      </c>
    </row>
    <row r="65" spans="1:10" s="175" customFormat="1" ht="24" x14ac:dyDescent="0.2">
      <c r="A65" s="103" t="s">
        <v>38</v>
      </c>
      <c r="B65" s="104" t="s">
        <v>76</v>
      </c>
      <c r="C65" s="104" t="s">
        <v>295</v>
      </c>
      <c r="D65" s="104" t="s">
        <v>230</v>
      </c>
      <c r="E65" s="104"/>
      <c r="F65" s="105">
        <f>F66+F68</f>
        <v>2056</v>
      </c>
      <c r="G65" s="147">
        <f t="shared" si="3"/>
        <v>-5</v>
      </c>
      <c r="H65" s="105">
        <f>H66+H68</f>
        <v>2051</v>
      </c>
      <c r="I65" s="105">
        <f t="shared" ref="I65" si="23">I66+I68</f>
        <v>1632.86616</v>
      </c>
      <c r="J65" s="105">
        <f t="shared" si="5"/>
        <v>79.613172111165284</v>
      </c>
    </row>
    <row r="66" spans="1:10" s="175" customFormat="1" x14ac:dyDescent="0.2">
      <c r="A66" s="112" t="s">
        <v>294</v>
      </c>
      <c r="B66" s="113" t="s">
        <v>76</v>
      </c>
      <c r="C66" s="113" t="s">
        <v>295</v>
      </c>
      <c r="D66" s="113" t="s">
        <v>230</v>
      </c>
      <c r="E66" s="113" t="s">
        <v>84</v>
      </c>
      <c r="F66" s="114">
        <f>F67</f>
        <v>2018</v>
      </c>
      <c r="G66" s="147">
        <f t="shared" si="3"/>
        <v>-5</v>
      </c>
      <c r="H66" s="114">
        <f>H67</f>
        <v>2013</v>
      </c>
      <c r="I66" s="114">
        <f t="shared" ref="I66" si="24">I67</f>
        <v>1604.42803</v>
      </c>
      <c r="J66" s="114">
        <f t="shared" si="5"/>
        <v>79.703329855936417</v>
      </c>
    </row>
    <row r="67" spans="1:10" s="175" customFormat="1" x14ac:dyDescent="0.2">
      <c r="A67" s="112" t="s">
        <v>85</v>
      </c>
      <c r="B67" s="113" t="s">
        <v>76</v>
      </c>
      <c r="C67" s="113" t="s">
        <v>295</v>
      </c>
      <c r="D67" s="113" t="s">
        <v>230</v>
      </c>
      <c r="E67" s="113" t="s">
        <v>86</v>
      </c>
      <c r="F67" s="114">
        <f>294+70+30+1008+70+50+496</f>
        <v>2018</v>
      </c>
      <c r="G67" s="147">
        <f t="shared" si="3"/>
        <v>-5</v>
      </c>
      <c r="H67" s="114">
        <f>294+70+30+1008+70+50+496-5</f>
        <v>2013</v>
      </c>
      <c r="I67" s="114">
        <v>1604.42803</v>
      </c>
      <c r="J67" s="114">
        <f t="shared" si="5"/>
        <v>79.703329855936417</v>
      </c>
    </row>
    <row r="68" spans="1:10" s="175" customFormat="1" x14ac:dyDescent="0.2">
      <c r="A68" s="112" t="s">
        <v>87</v>
      </c>
      <c r="B68" s="113" t="s">
        <v>76</v>
      </c>
      <c r="C68" s="113" t="s">
        <v>295</v>
      </c>
      <c r="D68" s="113" t="s">
        <v>230</v>
      </c>
      <c r="E68" s="113" t="s">
        <v>88</v>
      </c>
      <c r="F68" s="114">
        <f>F69</f>
        <v>38</v>
      </c>
      <c r="G68" s="147">
        <f t="shared" si="3"/>
        <v>0</v>
      </c>
      <c r="H68" s="114">
        <f>H69</f>
        <v>38</v>
      </c>
      <c r="I68" s="114">
        <f t="shared" ref="I68" si="25">I69</f>
        <v>28.438130000000001</v>
      </c>
      <c r="J68" s="114">
        <f t="shared" si="5"/>
        <v>74.837184210526317</v>
      </c>
    </row>
    <row r="69" spans="1:10" s="175" customFormat="1" x14ac:dyDescent="0.2">
      <c r="A69" s="112" t="s">
        <v>500</v>
      </c>
      <c r="B69" s="113" t="s">
        <v>76</v>
      </c>
      <c r="C69" s="113" t="s">
        <v>295</v>
      </c>
      <c r="D69" s="113" t="s">
        <v>230</v>
      </c>
      <c r="E69" s="113" t="s">
        <v>89</v>
      </c>
      <c r="F69" s="114">
        <v>38</v>
      </c>
      <c r="G69" s="147">
        <f t="shared" si="3"/>
        <v>0</v>
      </c>
      <c r="H69" s="114">
        <v>38</v>
      </c>
      <c r="I69" s="114">
        <v>28.438130000000001</v>
      </c>
      <c r="J69" s="114">
        <f t="shared" si="5"/>
        <v>74.837184210526317</v>
      </c>
    </row>
    <row r="70" spans="1:10" s="175" customFormat="1" x14ac:dyDescent="0.2">
      <c r="A70" s="138" t="s">
        <v>319</v>
      </c>
      <c r="B70" s="118" t="s">
        <v>76</v>
      </c>
      <c r="C70" s="118" t="s">
        <v>295</v>
      </c>
      <c r="D70" s="118" t="s">
        <v>209</v>
      </c>
      <c r="E70" s="118"/>
      <c r="F70" s="119">
        <f>F71</f>
        <v>16579.599999999999</v>
      </c>
      <c r="G70" s="147">
        <f t="shared" si="3"/>
        <v>404.25144</v>
      </c>
      <c r="H70" s="119">
        <f>H71</f>
        <v>16983.851439999999</v>
      </c>
      <c r="I70" s="119">
        <f t="shared" ref="I70" si="26">I71</f>
        <v>15984.29664</v>
      </c>
      <c r="J70" s="105">
        <f t="shared" si="5"/>
        <v>94.114675322430884</v>
      </c>
    </row>
    <row r="71" spans="1:10" s="175" customFormat="1" x14ac:dyDescent="0.2">
      <c r="A71" s="120" t="s">
        <v>297</v>
      </c>
      <c r="B71" s="104" t="s">
        <v>76</v>
      </c>
      <c r="C71" s="104" t="s">
        <v>295</v>
      </c>
      <c r="D71" s="104" t="s">
        <v>210</v>
      </c>
      <c r="E71" s="104"/>
      <c r="F71" s="105">
        <f>F72+F77</f>
        <v>16579.599999999999</v>
      </c>
      <c r="G71" s="147">
        <f t="shared" si="3"/>
        <v>404.25144</v>
      </c>
      <c r="H71" s="105">
        <f>H72+H77+H82</f>
        <v>16983.851439999999</v>
      </c>
      <c r="I71" s="105">
        <f>I72+I77+I82</f>
        <v>15984.29664</v>
      </c>
      <c r="J71" s="105">
        <f t="shared" si="5"/>
        <v>94.114675322430884</v>
      </c>
    </row>
    <row r="72" spans="1:10" s="175" customFormat="1" x14ac:dyDescent="0.2">
      <c r="A72" s="120" t="s">
        <v>317</v>
      </c>
      <c r="B72" s="104" t="s">
        <v>76</v>
      </c>
      <c r="C72" s="104" t="s">
        <v>295</v>
      </c>
      <c r="D72" s="104" t="s">
        <v>211</v>
      </c>
      <c r="E72" s="104"/>
      <c r="F72" s="160">
        <f>F73+F75</f>
        <v>13720</v>
      </c>
      <c r="G72" s="147">
        <f t="shared" si="3"/>
        <v>0</v>
      </c>
      <c r="H72" s="160">
        <f>H73+H75</f>
        <v>13720</v>
      </c>
      <c r="I72" s="160">
        <f t="shared" ref="I72" si="27">I73+I75</f>
        <v>13038.02591</v>
      </c>
      <c r="J72" s="105">
        <f t="shared" si="5"/>
        <v>95.029343367346939</v>
      </c>
    </row>
    <row r="73" spans="1:10" s="175" customFormat="1" ht="24" x14ac:dyDescent="0.2">
      <c r="A73" s="112" t="s">
        <v>79</v>
      </c>
      <c r="B73" s="113" t="s">
        <v>76</v>
      </c>
      <c r="C73" s="113" t="s">
        <v>295</v>
      </c>
      <c r="D73" s="113" t="s">
        <v>211</v>
      </c>
      <c r="E73" s="113" t="s">
        <v>80</v>
      </c>
      <c r="F73" s="114">
        <f>F74</f>
        <v>13670</v>
      </c>
      <c r="G73" s="147">
        <f t="shared" si="3"/>
        <v>-3.8144599999995989</v>
      </c>
      <c r="H73" s="114">
        <f>H74</f>
        <v>13666.18554</v>
      </c>
      <c r="I73" s="114">
        <f t="shared" ref="I73" si="28">I74</f>
        <v>12984.211450000001</v>
      </c>
      <c r="J73" s="114">
        <f t="shared" si="5"/>
        <v>95.009770004922672</v>
      </c>
    </row>
    <row r="74" spans="1:10" s="175" customFormat="1" x14ac:dyDescent="0.2">
      <c r="A74" s="112" t="s">
        <v>81</v>
      </c>
      <c r="B74" s="113" t="s">
        <v>76</v>
      </c>
      <c r="C74" s="113" t="s">
        <v>295</v>
      </c>
      <c r="D74" s="113" t="s">
        <v>211</v>
      </c>
      <c r="E74" s="113" t="s">
        <v>82</v>
      </c>
      <c r="F74" s="114">
        <f>13720-50</f>
        <v>13670</v>
      </c>
      <c r="G74" s="147">
        <f t="shared" si="3"/>
        <v>-3.8144599999995989</v>
      </c>
      <c r="H74" s="114">
        <f>13720-50-3.81446</f>
        <v>13666.18554</v>
      </c>
      <c r="I74" s="114">
        <v>12984.211450000001</v>
      </c>
      <c r="J74" s="114">
        <f t="shared" si="5"/>
        <v>95.009770004922672</v>
      </c>
    </row>
    <row r="75" spans="1:10" s="175" customFormat="1" x14ac:dyDescent="0.2">
      <c r="A75" s="112" t="s">
        <v>95</v>
      </c>
      <c r="B75" s="113" t="s">
        <v>76</v>
      </c>
      <c r="C75" s="113" t="s">
        <v>295</v>
      </c>
      <c r="D75" s="113" t="s">
        <v>211</v>
      </c>
      <c r="E75" s="113" t="s">
        <v>94</v>
      </c>
      <c r="F75" s="114">
        <f>F76</f>
        <v>50</v>
      </c>
      <c r="G75" s="147">
        <f t="shared" si="3"/>
        <v>3.8144599999999969</v>
      </c>
      <c r="H75" s="114">
        <f>H76</f>
        <v>53.814459999999997</v>
      </c>
      <c r="I75" s="114">
        <f t="shared" ref="I75" si="29">I76</f>
        <v>53.814459999999997</v>
      </c>
      <c r="J75" s="114">
        <f t="shared" si="5"/>
        <v>100</v>
      </c>
    </row>
    <row r="76" spans="1:10" s="175" customFormat="1" x14ac:dyDescent="0.2">
      <c r="A76" s="112" t="s">
        <v>96</v>
      </c>
      <c r="B76" s="113" t="s">
        <v>76</v>
      </c>
      <c r="C76" s="113" t="s">
        <v>295</v>
      </c>
      <c r="D76" s="113" t="s">
        <v>211</v>
      </c>
      <c r="E76" s="113" t="s">
        <v>97</v>
      </c>
      <c r="F76" s="114">
        <v>50</v>
      </c>
      <c r="G76" s="147">
        <f t="shared" si="3"/>
        <v>3.8144599999999969</v>
      </c>
      <c r="H76" s="114">
        <f>50+3.81446</f>
        <v>53.814459999999997</v>
      </c>
      <c r="I76" s="114">
        <v>53.814459999999997</v>
      </c>
      <c r="J76" s="114">
        <f t="shared" si="5"/>
        <v>100</v>
      </c>
    </row>
    <row r="77" spans="1:10" s="175" customFormat="1" x14ac:dyDescent="0.2">
      <c r="A77" s="103" t="s">
        <v>318</v>
      </c>
      <c r="B77" s="104" t="s">
        <v>76</v>
      </c>
      <c r="C77" s="104" t="s">
        <v>295</v>
      </c>
      <c r="D77" s="104" t="s">
        <v>212</v>
      </c>
      <c r="E77" s="104"/>
      <c r="F77" s="105">
        <f>F78+F80</f>
        <v>2859.6</v>
      </c>
      <c r="G77" s="147">
        <f t="shared" si="3"/>
        <v>0</v>
      </c>
      <c r="H77" s="105">
        <f>H78+H80</f>
        <v>2859.6</v>
      </c>
      <c r="I77" s="105">
        <f t="shared" ref="I77" si="30">I78+I80</f>
        <v>2542.0192900000002</v>
      </c>
      <c r="J77" s="105">
        <f t="shared" si="5"/>
        <v>88.894226115540647</v>
      </c>
    </row>
    <row r="78" spans="1:10" s="175" customFormat="1" x14ac:dyDescent="0.2">
      <c r="A78" s="112" t="s">
        <v>294</v>
      </c>
      <c r="B78" s="113" t="s">
        <v>76</v>
      </c>
      <c r="C78" s="113" t="s">
        <v>295</v>
      </c>
      <c r="D78" s="113" t="s">
        <v>212</v>
      </c>
      <c r="E78" s="113" t="s">
        <v>84</v>
      </c>
      <c r="F78" s="114">
        <f>F79</f>
        <v>2854.6</v>
      </c>
      <c r="G78" s="147">
        <f t="shared" si="3"/>
        <v>0</v>
      </c>
      <c r="H78" s="114">
        <f>H79</f>
        <v>2854.6</v>
      </c>
      <c r="I78" s="114">
        <f t="shared" ref="I78" si="31">I79</f>
        <v>2542.0192900000002</v>
      </c>
      <c r="J78" s="114">
        <f t="shared" si="5"/>
        <v>89.049929587332727</v>
      </c>
    </row>
    <row r="79" spans="1:10" s="175" customFormat="1" x14ac:dyDescent="0.2">
      <c r="A79" s="112" t="s">
        <v>85</v>
      </c>
      <c r="B79" s="113" t="s">
        <v>76</v>
      </c>
      <c r="C79" s="113" t="s">
        <v>295</v>
      </c>
      <c r="D79" s="113" t="s">
        <v>212</v>
      </c>
      <c r="E79" s="113" t="s">
        <v>86</v>
      </c>
      <c r="F79" s="114">
        <v>2854.6</v>
      </c>
      <c r="G79" s="147">
        <f t="shared" si="3"/>
        <v>0</v>
      </c>
      <c r="H79" s="114">
        <v>2854.6</v>
      </c>
      <c r="I79" s="114">
        <v>2542.0192900000002</v>
      </c>
      <c r="J79" s="114">
        <f t="shared" si="5"/>
        <v>89.049929587332727</v>
      </c>
    </row>
    <row r="80" spans="1:10" s="175" customFormat="1" x14ac:dyDescent="0.2">
      <c r="A80" s="112" t="s">
        <v>87</v>
      </c>
      <c r="B80" s="113" t="s">
        <v>76</v>
      </c>
      <c r="C80" s="113" t="s">
        <v>295</v>
      </c>
      <c r="D80" s="113" t="s">
        <v>212</v>
      </c>
      <c r="E80" s="113" t="s">
        <v>88</v>
      </c>
      <c r="F80" s="114">
        <f>F81</f>
        <v>5</v>
      </c>
      <c r="G80" s="147">
        <f t="shared" si="3"/>
        <v>0</v>
      </c>
      <c r="H80" s="114">
        <f>H81</f>
        <v>5</v>
      </c>
      <c r="I80" s="212">
        <f t="shared" ref="I80" si="32">I81</f>
        <v>0</v>
      </c>
      <c r="J80" s="287">
        <f t="shared" si="5"/>
        <v>0</v>
      </c>
    </row>
    <row r="81" spans="1:10" s="175" customFormat="1" x14ac:dyDescent="0.2">
      <c r="A81" s="112" t="s">
        <v>500</v>
      </c>
      <c r="B81" s="113" t="s">
        <v>76</v>
      </c>
      <c r="C81" s="113" t="s">
        <v>295</v>
      </c>
      <c r="D81" s="113" t="s">
        <v>212</v>
      </c>
      <c r="E81" s="113" t="s">
        <v>89</v>
      </c>
      <c r="F81" s="114">
        <v>5</v>
      </c>
      <c r="G81" s="147">
        <f t="shared" si="3"/>
        <v>0</v>
      </c>
      <c r="H81" s="114">
        <v>5</v>
      </c>
      <c r="I81" s="212">
        <v>0</v>
      </c>
      <c r="J81" s="287">
        <f t="shared" si="5"/>
        <v>0</v>
      </c>
    </row>
    <row r="82" spans="1:10" s="175" customFormat="1" ht="24" x14ac:dyDescent="0.2">
      <c r="A82" s="117" t="s">
        <v>768</v>
      </c>
      <c r="B82" s="104" t="s">
        <v>76</v>
      </c>
      <c r="C82" s="104" t="s">
        <v>295</v>
      </c>
      <c r="D82" s="118" t="s">
        <v>769</v>
      </c>
      <c r="E82" s="118"/>
      <c r="F82" s="119">
        <f t="shared" ref="F82:I83" si="33">F83</f>
        <v>195.3</v>
      </c>
      <c r="G82" s="119">
        <f t="shared" si="33"/>
        <v>195.3</v>
      </c>
      <c r="H82" s="119">
        <f t="shared" si="33"/>
        <v>404.25144</v>
      </c>
      <c r="I82" s="119">
        <f t="shared" si="33"/>
        <v>404.25144</v>
      </c>
      <c r="J82" s="119">
        <f t="shared" ref="J82:J84" si="34">I82/H82*100</f>
        <v>100</v>
      </c>
    </row>
    <row r="83" spans="1:10" s="175" customFormat="1" ht="24" x14ac:dyDescent="0.2">
      <c r="A83" s="112" t="s">
        <v>79</v>
      </c>
      <c r="B83" s="113" t="s">
        <v>76</v>
      </c>
      <c r="C83" s="113" t="s">
        <v>295</v>
      </c>
      <c r="D83" s="113" t="s">
        <v>769</v>
      </c>
      <c r="E83" s="113" t="s">
        <v>80</v>
      </c>
      <c r="F83" s="114">
        <f t="shared" si="33"/>
        <v>195.3</v>
      </c>
      <c r="G83" s="114">
        <f t="shared" si="33"/>
        <v>195.3</v>
      </c>
      <c r="H83" s="114">
        <f t="shared" si="33"/>
        <v>404.25144</v>
      </c>
      <c r="I83" s="114">
        <f t="shared" si="33"/>
        <v>404.25144</v>
      </c>
      <c r="J83" s="114">
        <f t="shared" si="34"/>
        <v>100</v>
      </c>
    </row>
    <row r="84" spans="1:10" s="175" customFormat="1" x14ac:dyDescent="0.2">
      <c r="A84" s="112" t="s">
        <v>81</v>
      </c>
      <c r="B84" s="113" t="s">
        <v>76</v>
      </c>
      <c r="C84" s="113" t="s">
        <v>295</v>
      </c>
      <c r="D84" s="113" t="s">
        <v>769</v>
      </c>
      <c r="E84" s="113" t="s">
        <v>82</v>
      </c>
      <c r="F84" s="114">
        <v>195.3</v>
      </c>
      <c r="G84" s="114">
        <v>195.3</v>
      </c>
      <c r="H84" s="114">
        <v>404.25144</v>
      </c>
      <c r="I84" s="114">
        <v>404.25144</v>
      </c>
      <c r="J84" s="114">
        <f t="shared" si="34"/>
        <v>100</v>
      </c>
    </row>
    <row r="85" spans="1:10" s="175" customFormat="1" x14ac:dyDescent="0.2">
      <c r="A85" s="103" t="s">
        <v>310</v>
      </c>
      <c r="B85" s="104" t="s">
        <v>76</v>
      </c>
      <c r="C85" s="104" t="s">
        <v>90</v>
      </c>
      <c r="D85" s="104"/>
      <c r="E85" s="104"/>
      <c r="F85" s="105">
        <f>F86</f>
        <v>3000</v>
      </c>
      <c r="G85" s="147">
        <f t="shared" ref="G85:G148" si="35">H85-F85</f>
        <v>5300</v>
      </c>
      <c r="H85" s="105">
        <f>H86</f>
        <v>8300</v>
      </c>
      <c r="I85" s="287">
        <f t="shared" ref="I85:I89" si="36">I86</f>
        <v>0</v>
      </c>
      <c r="J85" s="287">
        <f t="shared" si="5"/>
        <v>0</v>
      </c>
    </row>
    <row r="86" spans="1:10" s="175" customFormat="1" x14ac:dyDescent="0.2">
      <c r="A86" s="138" t="s">
        <v>74</v>
      </c>
      <c r="B86" s="118" t="s">
        <v>76</v>
      </c>
      <c r="C86" s="118" t="s">
        <v>90</v>
      </c>
      <c r="D86" s="118" t="s">
        <v>209</v>
      </c>
      <c r="E86" s="118"/>
      <c r="F86" s="119">
        <f>F87</f>
        <v>3000</v>
      </c>
      <c r="G86" s="147">
        <f t="shared" si="35"/>
        <v>5300</v>
      </c>
      <c r="H86" s="119">
        <f>H87</f>
        <v>8300</v>
      </c>
      <c r="I86" s="288">
        <f t="shared" si="36"/>
        <v>0</v>
      </c>
      <c r="J86" s="287">
        <f t="shared" si="5"/>
        <v>0</v>
      </c>
    </row>
    <row r="87" spans="1:10" s="175" customFormat="1" x14ac:dyDescent="0.2">
      <c r="A87" s="120" t="s">
        <v>297</v>
      </c>
      <c r="B87" s="104" t="s">
        <v>76</v>
      </c>
      <c r="C87" s="104" t="s">
        <v>90</v>
      </c>
      <c r="D87" s="104" t="s">
        <v>210</v>
      </c>
      <c r="E87" s="104"/>
      <c r="F87" s="105">
        <f>F88</f>
        <v>3000</v>
      </c>
      <c r="G87" s="147">
        <f t="shared" si="35"/>
        <v>5300</v>
      </c>
      <c r="H87" s="105">
        <f>H88</f>
        <v>8300</v>
      </c>
      <c r="I87" s="287">
        <f t="shared" si="36"/>
        <v>0</v>
      </c>
      <c r="J87" s="287">
        <f t="shared" si="5"/>
        <v>0</v>
      </c>
    </row>
    <row r="88" spans="1:10" s="175" customFormat="1" x14ac:dyDescent="0.2">
      <c r="A88" s="103" t="s">
        <v>91</v>
      </c>
      <c r="B88" s="104" t="s">
        <v>76</v>
      </c>
      <c r="C88" s="104" t="s">
        <v>90</v>
      </c>
      <c r="D88" s="104" t="s">
        <v>314</v>
      </c>
      <c r="E88" s="104"/>
      <c r="F88" s="114">
        <f>F89</f>
        <v>3000</v>
      </c>
      <c r="G88" s="147">
        <f t="shared" si="35"/>
        <v>5300</v>
      </c>
      <c r="H88" s="105">
        <f>H89</f>
        <v>8300</v>
      </c>
      <c r="I88" s="287">
        <f t="shared" si="36"/>
        <v>0</v>
      </c>
      <c r="J88" s="287">
        <f t="shared" si="5"/>
        <v>0</v>
      </c>
    </row>
    <row r="89" spans="1:10" s="175" customFormat="1" x14ac:dyDescent="0.2">
      <c r="A89" s="112" t="s">
        <v>87</v>
      </c>
      <c r="B89" s="113" t="s">
        <v>76</v>
      </c>
      <c r="C89" s="113" t="s">
        <v>90</v>
      </c>
      <c r="D89" s="113" t="s">
        <v>314</v>
      </c>
      <c r="E89" s="113" t="s">
        <v>88</v>
      </c>
      <c r="F89" s="114">
        <f>F90</f>
        <v>3000</v>
      </c>
      <c r="G89" s="147">
        <f t="shared" si="35"/>
        <v>5300</v>
      </c>
      <c r="H89" s="114">
        <f>H90</f>
        <v>8300</v>
      </c>
      <c r="I89" s="212">
        <f t="shared" si="36"/>
        <v>0</v>
      </c>
      <c r="J89" s="287">
        <f t="shared" si="5"/>
        <v>0</v>
      </c>
    </row>
    <row r="90" spans="1:10" s="175" customFormat="1" x14ac:dyDescent="0.2">
      <c r="A90" s="112" t="s">
        <v>92</v>
      </c>
      <c r="B90" s="113" t="s">
        <v>76</v>
      </c>
      <c r="C90" s="113" t="s">
        <v>90</v>
      </c>
      <c r="D90" s="113" t="s">
        <v>314</v>
      </c>
      <c r="E90" s="113" t="s">
        <v>421</v>
      </c>
      <c r="F90" s="114">
        <v>3000</v>
      </c>
      <c r="G90" s="147">
        <f t="shared" si="35"/>
        <v>5300</v>
      </c>
      <c r="H90" s="114">
        <f>3000+10000-4400-300</f>
        <v>8300</v>
      </c>
      <c r="I90" s="212">
        <v>0</v>
      </c>
      <c r="J90" s="287">
        <f t="shared" si="5"/>
        <v>0</v>
      </c>
    </row>
    <row r="91" spans="1:10" s="175" customFormat="1" x14ac:dyDescent="0.2">
      <c r="A91" s="103" t="s">
        <v>311</v>
      </c>
      <c r="B91" s="104" t="s">
        <v>76</v>
      </c>
      <c r="C91" s="104" t="s">
        <v>93</v>
      </c>
      <c r="D91" s="104"/>
      <c r="E91" s="104"/>
      <c r="F91" s="105" t="e">
        <f>F92+F126+F131+F136</f>
        <v>#REF!</v>
      </c>
      <c r="G91" s="147" t="e">
        <f t="shared" si="35"/>
        <v>#REF!</v>
      </c>
      <c r="H91" s="105">
        <f>H92+H126+H131+H136</f>
        <v>108456.42173</v>
      </c>
      <c r="I91" s="105">
        <f t="shared" ref="I91" si="37">I92+I126+I131+I136</f>
        <v>94544.58124</v>
      </c>
      <c r="J91" s="105">
        <f t="shared" si="5"/>
        <v>87.172875272767854</v>
      </c>
    </row>
    <row r="92" spans="1:10" s="175" customFormat="1" ht="27" x14ac:dyDescent="0.2">
      <c r="A92" s="116" t="s">
        <v>527</v>
      </c>
      <c r="B92" s="107" t="s">
        <v>76</v>
      </c>
      <c r="C92" s="107" t="s">
        <v>93</v>
      </c>
      <c r="D92" s="139" t="s">
        <v>213</v>
      </c>
      <c r="E92" s="140"/>
      <c r="F92" s="108">
        <f>F93+F100+F119</f>
        <v>38642.9</v>
      </c>
      <c r="G92" s="147">
        <f t="shared" si="35"/>
        <v>0</v>
      </c>
      <c r="H92" s="108">
        <f>H93+H100+H119</f>
        <v>38642.9</v>
      </c>
      <c r="I92" s="108">
        <f t="shared" ref="I92" si="38">I93+I100+I119</f>
        <v>32163.917890000001</v>
      </c>
      <c r="J92" s="108">
        <f t="shared" ref="J92:J155" si="39">I92/H92*100</f>
        <v>83.233706295334969</v>
      </c>
    </row>
    <row r="93" spans="1:10" s="175" customFormat="1" ht="13.5" x14ac:dyDescent="0.2">
      <c r="A93" s="141" t="s">
        <v>528</v>
      </c>
      <c r="B93" s="107" t="s">
        <v>76</v>
      </c>
      <c r="C93" s="107" t="s">
        <v>93</v>
      </c>
      <c r="D93" s="142" t="s">
        <v>174</v>
      </c>
      <c r="E93" s="140"/>
      <c r="F93" s="108">
        <f>F94+F97</f>
        <v>25382</v>
      </c>
      <c r="G93" s="147">
        <f t="shared" si="35"/>
        <v>0</v>
      </c>
      <c r="H93" s="108">
        <f>H94+H97</f>
        <v>25382</v>
      </c>
      <c r="I93" s="108">
        <f t="shared" ref="I93" si="40">I94+I97</f>
        <v>25230.972000000002</v>
      </c>
      <c r="J93" s="119">
        <f t="shared" si="39"/>
        <v>99.404979907020731</v>
      </c>
    </row>
    <row r="94" spans="1:10" s="175" customFormat="1" x14ac:dyDescent="0.2">
      <c r="A94" s="103" t="s">
        <v>529</v>
      </c>
      <c r="B94" s="104" t="s">
        <v>76</v>
      </c>
      <c r="C94" s="104" t="s">
        <v>93</v>
      </c>
      <c r="D94" s="135" t="s">
        <v>129</v>
      </c>
      <c r="E94" s="143"/>
      <c r="F94" s="127">
        <f>F95</f>
        <v>7140</v>
      </c>
      <c r="G94" s="147">
        <f t="shared" si="35"/>
        <v>0</v>
      </c>
      <c r="H94" s="127">
        <f>H95</f>
        <v>7140</v>
      </c>
      <c r="I94" s="127">
        <f t="shared" ref="I94:I95" si="41">I95</f>
        <v>7140</v>
      </c>
      <c r="J94" s="105">
        <f t="shared" si="39"/>
        <v>100</v>
      </c>
    </row>
    <row r="95" spans="1:10" s="175" customFormat="1" x14ac:dyDescent="0.2">
      <c r="A95" s="112" t="s">
        <v>294</v>
      </c>
      <c r="B95" s="113" t="s">
        <v>76</v>
      </c>
      <c r="C95" s="113" t="s">
        <v>93</v>
      </c>
      <c r="D95" s="123" t="s">
        <v>129</v>
      </c>
      <c r="E95" s="130">
        <v>200</v>
      </c>
      <c r="F95" s="128">
        <f>F96</f>
        <v>7140</v>
      </c>
      <c r="G95" s="147">
        <f t="shared" si="35"/>
        <v>0</v>
      </c>
      <c r="H95" s="128">
        <f>H96</f>
        <v>7140</v>
      </c>
      <c r="I95" s="128">
        <f t="shared" si="41"/>
        <v>7140</v>
      </c>
      <c r="J95" s="114">
        <f t="shared" si="39"/>
        <v>100</v>
      </c>
    </row>
    <row r="96" spans="1:10" s="175" customFormat="1" x14ac:dyDescent="0.2">
      <c r="A96" s="112" t="s">
        <v>85</v>
      </c>
      <c r="B96" s="113" t="s">
        <v>76</v>
      </c>
      <c r="C96" s="113" t="s">
        <v>93</v>
      </c>
      <c r="D96" s="123" t="s">
        <v>129</v>
      </c>
      <c r="E96" s="130">
        <v>240</v>
      </c>
      <c r="F96" s="128">
        <v>7140</v>
      </c>
      <c r="G96" s="147">
        <f t="shared" si="35"/>
        <v>0</v>
      </c>
      <c r="H96" s="128">
        <v>7140</v>
      </c>
      <c r="I96" s="128">
        <v>7140</v>
      </c>
      <c r="J96" s="114">
        <f t="shared" si="39"/>
        <v>100</v>
      </c>
    </row>
    <row r="97" spans="1:10" s="175" customFormat="1" ht="24" x14ac:dyDescent="0.2">
      <c r="A97" s="103" t="s">
        <v>530</v>
      </c>
      <c r="B97" s="104" t="s">
        <v>76</v>
      </c>
      <c r="C97" s="104" t="s">
        <v>93</v>
      </c>
      <c r="D97" s="135" t="s">
        <v>531</v>
      </c>
      <c r="E97" s="143"/>
      <c r="F97" s="127">
        <f>F98</f>
        <v>18242</v>
      </c>
      <c r="G97" s="147">
        <f t="shared" si="35"/>
        <v>0</v>
      </c>
      <c r="H97" s="127">
        <f>H98</f>
        <v>18242</v>
      </c>
      <c r="I97" s="127">
        <f t="shared" ref="I97:I98" si="42">I98</f>
        <v>18090.972000000002</v>
      </c>
      <c r="J97" s="105">
        <f t="shared" si="39"/>
        <v>99.172086394035759</v>
      </c>
    </row>
    <row r="98" spans="1:10" s="175" customFormat="1" x14ac:dyDescent="0.2">
      <c r="A98" s="112" t="s">
        <v>294</v>
      </c>
      <c r="B98" s="113" t="s">
        <v>76</v>
      </c>
      <c r="C98" s="113" t="s">
        <v>93</v>
      </c>
      <c r="D98" s="123" t="s">
        <v>531</v>
      </c>
      <c r="E98" s="130">
        <v>200</v>
      </c>
      <c r="F98" s="128">
        <f>F99</f>
        <v>18242</v>
      </c>
      <c r="G98" s="147">
        <f t="shared" si="35"/>
        <v>0</v>
      </c>
      <c r="H98" s="128">
        <f>H99</f>
        <v>18242</v>
      </c>
      <c r="I98" s="128">
        <f t="shared" si="42"/>
        <v>18090.972000000002</v>
      </c>
      <c r="J98" s="114">
        <f t="shared" si="39"/>
        <v>99.172086394035759</v>
      </c>
    </row>
    <row r="99" spans="1:10" s="175" customFormat="1" x14ac:dyDescent="0.2">
      <c r="A99" s="112" t="s">
        <v>85</v>
      </c>
      <c r="B99" s="113" t="s">
        <v>76</v>
      </c>
      <c r="C99" s="113" t="s">
        <v>93</v>
      </c>
      <c r="D99" s="123" t="s">
        <v>531</v>
      </c>
      <c r="E99" s="130">
        <v>240</v>
      </c>
      <c r="F99" s="128">
        <v>18242</v>
      </c>
      <c r="G99" s="147">
        <f t="shared" si="35"/>
        <v>0</v>
      </c>
      <c r="H99" s="128">
        <v>18242</v>
      </c>
      <c r="I99" s="128">
        <v>18090.972000000002</v>
      </c>
      <c r="J99" s="114">
        <f t="shared" si="39"/>
        <v>99.172086394035759</v>
      </c>
    </row>
    <row r="100" spans="1:10" s="175" customFormat="1" ht="27" x14ac:dyDescent="0.2">
      <c r="A100" s="141" t="s">
        <v>58</v>
      </c>
      <c r="B100" s="107" t="s">
        <v>76</v>
      </c>
      <c r="C100" s="107" t="s">
        <v>93</v>
      </c>
      <c r="D100" s="142" t="s">
        <v>246</v>
      </c>
      <c r="E100" s="140"/>
      <c r="F100" s="108">
        <f>F101+F104+F107+F110+F113+F116</f>
        <v>10560.9</v>
      </c>
      <c r="G100" s="147">
        <f t="shared" si="35"/>
        <v>0</v>
      </c>
      <c r="H100" s="108">
        <f>H101+H104+H107+H110+H113+H116</f>
        <v>10560.9</v>
      </c>
      <c r="I100" s="108">
        <f t="shared" ref="I100" si="43">I101+I104+I107+I110+I113+I116</f>
        <v>6932.94589</v>
      </c>
      <c r="J100" s="119">
        <f t="shared" si="39"/>
        <v>65.647301745116422</v>
      </c>
    </row>
    <row r="101" spans="1:10" s="175" customFormat="1" x14ac:dyDescent="0.2">
      <c r="A101" s="134" t="s">
        <v>532</v>
      </c>
      <c r="B101" s="104" t="s">
        <v>76</v>
      </c>
      <c r="C101" s="104" t="s">
        <v>93</v>
      </c>
      <c r="D101" s="135" t="s">
        <v>533</v>
      </c>
      <c r="E101" s="143"/>
      <c r="F101" s="105">
        <f>F102</f>
        <v>906.9</v>
      </c>
      <c r="G101" s="147">
        <f t="shared" si="35"/>
        <v>300.00000000000011</v>
      </c>
      <c r="H101" s="105">
        <f>H102</f>
        <v>1206.9000000000001</v>
      </c>
      <c r="I101" s="105">
        <f t="shared" ref="I101:I102" si="44">I102</f>
        <v>1198.19857</v>
      </c>
      <c r="J101" s="105">
        <f t="shared" si="39"/>
        <v>99.279026431353046</v>
      </c>
    </row>
    <row r="102" spans="1:10" s="175" customFormat="1" x14ac:dyDescent="0.2">
      <c r="A102" s="112" t="s">
        <v>294</v>
      </c>
      <c r="B102" s="113" t="s">
        <v>76</v>
      </c>
      <c r="C102" s="113" t="s">
        <v>93</v>
      </c>
      <c r="D102" s="123" t="s">
        <v>533</v>
      </c>
      <c r="E102" s="130">
        <v>200</v>
      </c>
      <c r="F102" s="114">
        <f>F103</f>
        <v>906.9</v>
      </c>
      <c r="G102" s="147">
        <f t="shared" si="35"/>
        <v>300.00000000000011</v>
      </c>
      <c r="H102" s="114">
        <f>H103</f>
        <v>1206.9000000000001</v>
      </c>
      <c r="I102" s="114">
        <f t="shared" si="44"/>
        <v>1198.19857</v>
      </c>
      <c r="J102" s="114">
        <f t="shared" si="39"/>
        <v>99.279026431353046</v>
      </c>
    </row>
    <row r="103" spans="1:10" s="175" customFormat="1" x14ac:dyDescent="0.2">
      <c r="A103" s="112" t="s">
        <v>85</v>
      </c>
      <c r="B103" s="113" t="s">
        <v>76</v>
      </c>
      <c r="C103" s="113" t="s">
        <v>93</v>
      </c>
      <c r="D103" s="123" t="s">
        <v>533</v>
      </c>
      <c r="E103" s="130">
        <v>240</v>
      </c>
      <c r="F103" s="114">
        <v>906.9</v>
      </c>
      <c r="G103" s="147">
        <f t="shared" si="35"/>
        <v>300.00000000000011</v>
      </c>
      <c r="H103" s="114">
        <f>906.9+300</f>
        <v>1206.9000000000001</v>
      </c>
      <c r="I103" s="114">
        <v>1198.19857</v>
      </c>
      <c r="J103" s="114">
        <f t="shared" si="39"/>
        <v>99.279026431353046</v>
      </c>
    </row>
    <row r="104" spans="1:10" s="175" customFormat="1" ht="24" x14ac:dyDescent="0.2">
      <c r="A104" s="134" t="s">
        <v>534</v>
      </c>
      <c r="B104" s="104" t="s">
        <v>76</v>
      </c>
      <c r="C104" s="104" t="s">
        <v>93</v>
      </c>
      <c r="D104" s="135" t="s">
        <v>535</v>
      </c>
      <c r="E104" s="130"/>
      <c r="F104" s="105">
        <f>F105</f>
        <v>1540</v>
      </c>
      <c r="G104" s="147">
        <f t="shared" si="35"/>
        <v>0</v>
      </c>
      <c r="H104" s="105">
        <f>H105</f>
        <v>1540</v>
      </c>
      <c r="I104" s="105">
        <f t="shared" ref="I104:I105" si="45">I105</f>
        <v>586.84932000000003</v>
      </c>
      <c r="J104" s="105">
        <f t="shared" si="39"/>
        <v>38.107098701298703</v>
      </c>
    </row>
    <row r="105" spans="1:10" s="175" customFormat="1" x14ac:dyDescent="0.2">
      <c r="A105" s="112" t="s">
        <v>294</v>
      </c>
      <c r="B105" s="113" t="s">
        <v>76</v>
      </c>
      <c r="C105" s="113" t="s">
        <v>93</v>
      </c>
      <c r="D105" s="123" t="s">
        <v>535</v>
      </c>
      <c r="E105" s="130">
        <v>200</v>
      </c>
      <c r="F105" s="114">
        <f>F106</f>
        <v>1540</v>
      </c>
      <c r="G105" s="147">
        <f t="shared" si="35"/>
        <v>0</v>
      </c>
      <c r="H105" s="114">
        <f>H106</f>
        <v>1540</v>
      </c>
      <c r="I105" s="114">
        <f t="shared" si="45"/>
        <v>586.84932000000003</v>
      </c>
      <c r="J105" s="114">
        <f t="shared" si="39"/>
        <v>38.107098701298703</v>
      </c>
    </row>
    <row r="106" spans="1:10" s="175" customFormat="1" x14ac:dyDescent="0.2">
      <c r="A106" s="112" t="s">
        <v>85</v>
      </c>
      <c r="B106" s="113" t="s">
        <v>76</v>
      </c>
      <c r="C106" s="113" t="s">
        <v>93</v>
      </c>
      <c r="D106" s="123" t="s">
        <v>535</v>
      </c>
      <c r="E106" s="130">
        <v>240</v>
      </c>
      <c r="F106" s="114">
        <v>1540</v>
      </c>
      <c r="G106" s="147">
        <f t="shared" si="35"/>
        <v>0</v>
      </c>
      <c r="H106" s="114">
        <v>1540</v>
      </c>
      <c r="I106" s="114">
        <v>586.84932000000003</v>
      </c>
      <c r="J106" s="114">
        <f t="shared" si="39"/>
        <v>38.107098701298703</v>
      </c>
    </row>
    <row r="107" spans="1:10" s="175" customFormat="1" ht="24" x14ac:dyDescent="0.2">
      <c r="A107" s="134" t="s">
        <v>536</v>
      </c>
      <c r="B107" s="104" t="s">
        <v>76</v>
      </c>
      <c r="C107" s="104" t="s">
        <v>93</v>
      </c>
      <c r="D107" s="135" t="s">
        <v>537</v>
      </c>
      <c r="E107" s="130"/>
      <c r="F107" s="105">
        <f>F108</f>
        <v>4164</v>
      </c>
      <c r="G107" s="147">
        <f t="shared" si="35"/>
        <v>-300</v>
      </c>
      <c r="H107" s="105">
        <f>H108</f>
        <v>3864</v>
      </c>
      <c r="I107" s="105">
        <f t="shared" ref="I107:I108" si="46">I108</f>
        <v>2958.7869999999998</v>
      </c>
      <c r="J107" s="105">
        <f t="shared" si="39"/>
        <v>76.573162525879908</v>
      </c>
    </row>
    <row r="108" spans="1:10" s="175" customFormat="1" x14ac:dyDescent="0.2">
      <c r="A108" s="112" t="s">
        <v>294</v>
      </c>
      <c r="B108" s="113" t="s">
        <v>76</v>
      </c>
      <c r="C108" s="113" t="s">
        <v>93</v>
      </c>
      <c r="D108" s="123" t="s">
        <v>537</v>
      </c>
      <c r="E108" s="130">
        <v>200</v>
      </c>
      <c r="F108" s="114">
        <f>F109</f>
        <v>4164</v>
      </c>
      <c r="G108" s="147">
        <f t="shared" si="35"/>
        <v>-300</v>
      </c>
      <c r="H108" s="114">
        <f>H109</f>
        <v>3864</v>
      </c>
      <c r="I108" s="114">
        <f t="shared" si="46"/>
        <v>2958.7869999999998</v>
      </c>
      <c r="J108" s="114">
        <f t="shared" si="39"/>
        <v>76.573162525879908</v>
      </c>
    </row>
    <row r="109" spans="1:10" s="175" customFormat="1" x14ac:dyDescent="0.2">
      <c r="A109" s="112" t="s">
        <v>85</v>
      </c>
      <c r="B109" s="113" t="s">
        <v>76</v>
      </c>
      <c r="C109" s="113" t="s">
        <v>93</v>
      </c>
      <c r="D109" s="123" t="s">
        <v>537</v>
      </c>
      <c r="E109" s="130">
        <v>240</v>
      </c>
      <c r="F109" s="114">
        <v>4164</v>
      </c>
      <c r="G109" s="147">
        <f t="shared" si="35"/>
        <v>-300</v>
      </c>
      <c r="H109" s="114">
        <f>4164-300</f>
        <v>3864</v>
      </c>
      <c r="I109" s="114">
        <v>2958.7869999999998</v>
      </c>
      <c r="J109" s="114">
        <f t="shared" si="39"/>
        <v>76.573162525879908</v>
      </c>
    </row>
    <row r="110" spans="1:10" s="175" customFormat="1" ht="24" x14ac:dyDescent="0.2">
      <c r="A110" s="134" t="s">
        <v>538</v>
      </c>
      <c r="B110" s="104" t="s">
        <v>76</v>
      </c>
      <c r="C110" s="104" t="s">
        <v>93</v>
      </c>
      <c r="D110" s="135" t="s">
        <v>539</v>
      </c>
      <c r="E110" s="130"/>
      <c r="F110" s="105">
        <f>F111</f>
        <v>2650</v>
      </c>
      <c r="G110" s="147">
        <f t="shared" si="35"/>
        <v>0</v>
      </c>
      <c r="H110" s="105">
        <f>H111</f>
        <v>2650</v>
      </c>
      <c r="I110" s="105">
        <f t="shared" ref="I110:I111" si="47">I111</f>
        <v>1914.1659999999999</v>
      </c>
      <c r="J110" s="105">
        <f t="shared" si="39"/>
        <v>72.232679245283009</v>
      </c>
    </row>
    <row r="111" spans="1:10" s="175" customFormat="1" x14ac:dyDescent="0.2">
      <c r="A111" s="112" t="s">
        <v>294</v>
      </c>
      <c r="B111" s="113" t="s">
        <v>76</v>
      </c>
      <c r="C111" s="113" t="s">
        <v>93</v>
      </c>
      <c r="D111" s="123" t="s">
        <v>539</v>
      </c>
      <c r="E111" s="130">
        <v>200</v>
      </c>
      <c r="F111" s="114">
        <f>F112</f>
        <v>2650</v>
      </c>
      <c r="G111" s="147">
        <f t="shared" si="35"/>
        <v>0</v>
      </c>
      <c r="H111" s="114">
        <f>H112</f>
        <v>2650</v>
      </c>
      <c r="I111" s="114">
        <f t="shared" si="47"/>
        <v>1914.1659999999999</v>
      </c>
      <c r="J111" s="114">
        <f t="shared" si="39"/>
        <v>72.232679245283009</v>
      </c>
    </row>
    <row r="112" spans="1:10" s="175" customFormat="1" x14ac:dyDescent="0.2">
      <c r="A112" s="112" t="s">
        <v>85</v>
      </c>
      <c r="B112" s="113" t="s">
        <v>76</v>
      </c>
      <c r="C112" s="113" t="s">
        <v>93</v>
      </c>
      <c r="D112" s="123" t="s">
        <v>539</v>
      </c>
      <c r="E112" s="130">
        <v>240</v>
      </c>
      <c r="F112" s="114">
        <v>2650</v>
      </c>
      <c r="G112" s="147">
        <f t="shared" si="35"/>
        <v>0</v>
      </c>
      <c r="H112" s="114">
        <v>2650</v>
      </c>
      <c r="I112" s="114">
        <v>1914.1659999999999</v>
      </c>
      <c r="J112" s="114">
        <f t="shared" si="39"/>
        <v>72.232679245283009</v>
      </c>
    </row>
    <row r="113" spans="1:10" s="175" customFormat="1" x14ac:dyDescent="0.2">
      <c r="A113" s="134" t="s">
        <v>247</v>
      </c>
      <c r="B113" s="104" t="s">
        <v>76</v>
      </c>
      <c r="C113" s="104" t="s">
        <v>93</v>
      </c>
      <c r="D113" s="135" t="s">
        <v>540</v>
      </c>
      <c r="E113" s="130"/>
      <c r="F113" s="127">
        <f>F114</f>
        <v>800</v>
      </c>
      <c r="G113" s="147">
        <f t="shared" si="35"/>
        <v>0</v>
      </c>
      <c r="H113" s="127">
        <f>H114</f>
        <v>800</v>
      </c>
      <c r="I113" s="127">
        <f t="shared" ref="I113:I114" si="48">I114</f>
        <v>99.82</v>
      </c>
      <c r="J113" s="105">
        <f t="shared" si="39"/>
        <v>12.477499999999999</v>
      </c>
    </row>
    <row r="114" spans="1:10" s="175" customFormat="1" x14ac:dyDescent="0.2">
      <c r="A114" s="112" t="s">
        <v>294</v>
      </c>
      <c r="B114" s="113" t="s">
        <v>76</v>
      </c>
      <c r="C114" s="113" t="s">
        <v>93</v>
      </c>
      <c r="D114" s="123" t="s">
        <v>540</v>
      </c>
      <c r="E114" s="130">
        <v>200</v>
      </c>
      <c r="F114" s="128">
        <f>F115</f>
        <v>800</v>
      </c>
      <c r="G114" s="147">
        <f t="shared" si="35"/>
        <v>0</v>
      </c>
      <c r="H114" s="128">
        <f>H115</f>
        <v>800</v>
      </c>
      <c r="I114" s="128">
        <f t="shared" si="48"/>
        <v>99.82</v>
      </c>
      <c r="J114" s="114">
        <f t="shared" si="39"/>
        <v>12.477499999999999</v>
      </c>
    </row>
    <row r="115" spans="1:10" s="175" customFormat="1" x14ac:dyDescent="0.2">
      <c r="A115" s="112" t="s">
        <v>85</v>
      </c>
      <c r="B115" s="113" t="s">
        <v>76</v>
      </c>
      <c r="C115" s="113" t="s">
        <v>93</v>
      </c>
      <c r="D115" s="123" t="s">
        <v>540</v>
      </c>
      <c r="E115" s="130">
        <v>240</v>
      </c>
      <c r="F115" s="128">
        <v>800</v>
      </c>
      <c r="G115" s="147">
        <f t="shared" si="35"/>
        <v>0</v>
      </c>
      <c r="H115" s="128">
        <v>800</v>
      </c>
      <c r="I115" s="128">
        <v>99.82</v>
      </c>
      <c r="J115" s="114">
        <f t="shared" si="39"/>
        <v>12.477499999999999</v>
      </c>
    </row>
    <row r="116" spans="1:10" s="175" customFormat="1" x14ac:dyDescent="0.2">
      <c r="A116" s="134" t="s">
        <v>248</v>
      </c>
      <c r="B116" s="104" t="s">
        <v>76</v>
      </c>
      <c r="C116" s="104" t="s">
        <v>93</v>
      </c>
      <c r="D116" s="135" t="s">
        <v>541</v>
      </c>
      <c r="E116" s="130"/>
      <c r="F116" s="105">
        <f>F117</f>
        <v>500</v>
      </c>
      <c r="G116" s="147">
        <f t="shared" si="35"/>
        <v>0</v>
      </c>
      <c r="H116" s="105">
        <f>H117</f>
        <v>500</v>
      </c>
      <c r="I116" s="105">
        <f t="shared" ref="I116:I117" si="49">I117</f>
        <v>175.125</v>
      </c>
      <c r="J116" s="105">
        <f t="shared" si="39"/>
        <v>35.024999999999999</v>
      </c>
    </row>
    <row r="117" spans="1:10" s="175" customFormat="1" x14ac:dyDescent="0.2">
      <c r="A117" s="112" t="s">
        <v>294</v>
      </c>
      <c r="B117" s="113" t="s">
        <v>76</v>
      </c>
      <c r="C117" s="113" t="s">
        <v>93</v>
      </c>
      <c r="D117" s="123" t="s">
        <v>541</v>
      </c>
      <c r="E117" s="130">
        <v>200</v>
      </c>
      <c r="F117" s="114">
        <f>F118</f>
        <v>500</v>
      </c>
      <c r="G117" s="147">
        <f t="shared" si="35"/>
        <v>0</v>
      </c>
      <c r="H117" s="114">
        <f>H118</f>
        <v>500</v>
      </c>
      <c r="I117" s="114">
        <f t="shared" si="49"/>
        <v>175.125</v>
      </c>
      <c r="J117" s="105">
        <f t="shared" si="39"/>
        <v>35.024999999999999</v>
      </c>
    </row>
    <row r="118" spans="1:10" s="175" customFormat="1" x14ac:dyDescent="0.2">
      <c r="A118" s="112" t="s">
        <v>85</v>
      </c>
      <c r="B118" s="113" t="s">
        <v>76</v>
      </c>
      <c r="C118" s="113" t="s">
        <v>93</v>
      </c>
      <c r="D118" s="123" t="s">
        <v>541</v>
      </c>
      <c r="E118" s="130">
        <v>240</v>
      </c>
      <c r="F118" s="114">
        <v>500</v>
      </c>
      <c r="G118" s="147">
        <f t="shared" si="35"/>
        <v>0</v>
      </c>
      <c r="H118" s="114">
        <v>500</v>
      </c>
      <c r="I118" s="114">
        <v>175.125</v>
      </c>
      <c r="J118" s="105">
        <f t="shared" si="39"/>
        <v>35.024999999999999</v>
      </c>
    </row>
    <row r="119" spans="1:10" s="175" customFormat="1" ht="13.5" x14ac:dyDescent="0.2">
      <c r="A119" s="116" t="s">
        <v>39</v>
      </c>
      <c r="B119" s="107" t="s">
        <v>76</v>
      </c>
      <c r="C119" s="107" t="s">
        <v>93</v>
      </c>
      <c r="D119" s="142" t="s">
        <v>40</v>
      </c>
      <c r="E119" s="140"/>
      <c r="F119" s="108">
        <f>F120+F123</f>
        <v>2700</v>
      </c>
      <c r="G119" s="147">
        <f t="shared" si="35"/>
        <v>0</v>
      </c>
      <c r="H119" s="108">
        <f>H120+H123</f>
        <v>2700</v>
      </c>
      <c r="I119" s="298">
        <f t="shared" ref="I119" si="50">I120+I123</f>
        <v>0</v>
      </c>
      <c r="J119" s="287">
        <f t="shared" si="39"/>
        <v>0</v>
      </c>
    </row>
    <row r="120" spans="1:10" s="175" customFormat="1" x14ac:dyDescent="0.2">
      <c r="A120" s="103" t="s">
        <v>41</v>
      </c>
      <c r="B120" s="104" t="s">
        <v>76</v>
      </c>
      <c r="C120" s="104" t="s">
        <v>93</v>
      </c>
      <c r="D120" s="104" t="s">
        <v>542</v>
      </c>
      <c r="E120" s="143"/>
      <c r="F120" s="105">
        <f>F121</f>
        <v>1000</v>
      </c>
      <c r="G120" s="147">
        <f t="shared" si="35"/>
        <v>0</v>
      </c>
      <c r="H120" s="105">
        <f>H121</f>
        <v>1000</v>
      </c>
      <c r="I120" s="287">
        <f t="shared" ref="I120:I121" si="51">I121</f>
        <v>0</v>
      </c>
      <c r="J120" s="287">
        <f t="shared" si="39"/>
        <v>0</v>
      </c>
    </row>
    <row r="121" spans="1:10" s="175" customFormat="1" x14ac:dyDescent="0.2">
      <c r="A121" s="112" t="s">
        <v>294</v>
      </c>
      <c r="B121" s="113" t="s">
        <v>76</v>
      </c>
      <c r="C121" s="113" t="s">
        <v>93</v>
      </c>
      <c r="D121" s="123" t="s">
        <v>542</v>
      </c>
      <c r="E121" s="130">
        <v>200</v>
      </c>
      <c r="F121" s="114">
        <f>F122</f>
        <v>1000</v>
      </c>
      <c r="G121" s="147">
        <f t="shared" si="35"/>
        <v>0</v>
      </c>
      <c r="H121" s="114">
        <f>H122</f>
        <v>1000</v>
      </c>
      <c r="I121" s="212">
        <f t="shared" si="51"/>
        <v>0</v>
      </c>
      <c r="J121" s="287">
        <f t="shared" si="39"/>
        <v>0</v>
      </c>
    </row>
    <row r="122" spans="1:10" s="175" customFormat="1" x14ac:dyDescent="0.2">
      <c r="A122" s="112" t="s">
        <v>85</v>
      </c>
      <c r="B122" s="113" t="s">
        <v>76</v>
      </c>
      <c r="C122" s="113" t="s">
        <v>93</v>
      </c>
      <c r="D122" s="123" t="s">
        <v>542</v>
      </c>
      <c r="E122" s="130">
        <v>240</v>
      </c>
      <c r="F122" s="114">
        <v>1000</v>
      </c>
      <c r="G122" s="147">
        <f t="shared" si="35"/>
        <v>0</v>
      </c>
      <c r="H122" s="114">
        <v>1000</v>
      </c>
      <c r="I122" s="212">
        <v>0</v>
      </c>
      <c r="J122" s="287">
        <f t="shared" si="39"/>
        <v>0</v>
      </c>
    </row>
    <row r="123" spans="1:10" s="175" customFormat="1" x14ac:dyDescent="0.2">
      <c r="A123" s="103" t="s">
        <v>543</v>
      </c>
      <c r="B123" s="104" t="s">
        <v>76</v>
      </c>
      <c r="C123" s="104" t="s">
        <v>93</v>
      </c>
      <c r="D123" s="135" t="s">
        <v>544</v>
      </c>
      <c r="E123" s="143"/>
      <c r="F123" s="105">
        <f>F124</f>
        <v>1700</v>
      </c>
      <c r="G123" s="147">
        <f t="shared" si="35"/>
        <v>0</v>
      </c>
      <c r="H123" s="105">
        <f>H124</f>
        <v>1700</v>
      </c>
      <c r="I123" s="287">
        <f t="shared" ref="I123:I124" si="52">I124</f>
        <v>0</v>
      </c>
      <c r="J123" s="287">
        <f t="shared" si="39"/>
        <v>0</v>
      </c>
    </row>
    <row r="124" spans="1:10" s="175" customFormat="1" x14ac:dyDescent="0.2">
      <c r="A124" s="112" t="s">
        <v>294</v>
      </c>
      <c r="B124" s="113" t="s">
        <v>76</v>
      </c>
      <c r="C124" s="113" t="s">
        <v>93</v>
      </c>
      <c r="D124" s="123" t="s">
        <v>544</v>
      </c>
      <c r="E124" s="130">
        <v>200</v>
      </c>
      <c r="F124" s="114">
        <f>F125</f>
        <v>1700</v>
      </c>
      <c r="G124" s="147">
        <f t="shared" si="35"/>
        <v>0</v>
      </c>
      <c r="H124" s="114">
        <f>H125</f>
        <v>1700</v>
      </c>
      <c r="I124" s="212">
        <f t="shared" si="52"/>
        <v>0</v>
      </c>
      <c r="J124" s="287">
        <f t="shared" si="39"/>
        <v>0</v>
      </c>
    </row>
    <row r="125" spans="1:10" s="175" customFormat="1" x14ac:dyDescent="0.2">
      <c r="A125" s="112" t="s">
        <v>85</v>
      </c>
      <c r="B125" s="113" t="s">
        <v>76</v>
      </c>
      <c r="C125" s="113" t="s">
        <v>93</v>
      </c>
      <c r="D125" s="123" t="s">
        <v>544</v>
      </c>
      <c r="E125" s="130">
        <v>240</v>
      </c>
      <c r="F125" s="114">
        <v>1700</v>
      </c>
      <c r="G125" s="147">
        <f t="shared" si="35"/>
        <v>0</v>
      </c>
      <c r="H125" s="114">
        <v>1700</v>
      </c>
      <c r="I125" s="212">
        <v>0</v>
      </c>
      <c r="J125" s="287">
        <f t="shared" si="39"/>
        <v>0</v>
      </c>
    </row>
    <row r="126" spans="1:10" s="175" customFormat="1" ht="24" x14ac:dyDescent="0.2">
      <c r="A126" s="117" t="s">
        <v>290</v>
      </c>
      <c r="B126" s="118" t="s">
        <v>76</v>
      </c>
      <c r="C126" s="118" t="s">
        <v>93</v>
      </c>
      <c r="D126" s="122" t="s">
        <v>233</v>
      </c>
      <c r="E126" s="144"/>
      <c r="F126" s="129">
        <f>F127</f>
        <v>1720</v>
      </c>
      <c r="G126" s="147">
        <f t="shared" si="35"/>
        <v>-1419.65</v>
      </c>
      <c r="H126" s="129">
        <f>H127</f>
        <v>300.34999999999991</v>
      </c>
      <c r="I126" s="129">
        <f t="shared" ref="I126:I129" si="53">I127</f>
        <v>300.35000000000002</v>
      </c>
      <c r="J126" s="119">
        <f t="shared" si="39"/>
        <v>100.00000000000004</v>
      </c>
    </row>
    <row r="127" spans="1:10" s="175" customFormat="1" ht="24" x14ac:dyDescent="0.2">
      <c r="A127" s="117" t="s">
        <v>545</v>
      </c>
      <c r="B127" s="118" t="s">
        <v>76</v>
      </c>
      <c r="C127" s="118" t="s">
        <v>93</v>
      </c>
      <c r="D127" s="122" t="s">
        <v>546</v>
      </c>
      <c r="E127" s="144"/>
      <c r="F127" s="129">
        <f>F128</f>
        <v>1720</v>
      </c>
      <c r="G127" s="147">
        <f t="shared" si="35"/>
        <v>-1419.65</v>
      </c>
      <c r="H127" s="129">
        <f>H128</f>
        <v>300.34999999999991</v>
      </c>
      <c r="I127" s="129">
        <f t="shared" si="53"/>
        <v>300.35000000000002</v>
      </c>
      <c r="J127" s="119">
        <f t="shared" si="39"/>
        <v>100.00000000000004</v>
      </c>
    </row>
    <row r="128" spans="1:10" s="175" customFormat="1" ht="24" x14ac:dyDescent="0.2">
      <c r="A128" s="103" t="s">
        <v>547</v>
      </c>
      <c r="B128" s="104" t="s">
        <v>76</v>
      </c>
      <c r="C128" s="104" t="s">
        <v>93</v>
      </c>
      <c r="D128" s="135" t="s">
        <v>548</v>
      </c>
      <c r="E128" s="143"/>
      <c r="F128" s="127">
        <f>F129</f>
        <v>1720</v>
      </c>
      <c r="G128" s="147">
        <f t="shared" si="35"/>
        <v>-1419.65</v>
      </c>
      <c r="H128" s="127">
        <f>H129</f>
        <v>300.34999999999991</v>
      </c>
      <c r="I128" s="127">
        <f t="shared" si="53"/>
        <v>300.35000000000002</v>
      </c>
      <c r="J128" s="105">
        <f t="shared" si="39"/>
        <v>100.00000000000004</v>
      </c>
    </row>
    <row r="129" spans="1:10" s="175" customFormat="1" x14ac:dyDescent="0.2">
      <c r="A129" s="112" t="s">
        <v>294</v>
      </c>
      <c r="B129" s="113" t="s">
        <v>76</v>
      </c>
      <c r="C129" s="113" t="s">
        <v>93</v>
      </c>
      <c r="D129" s="123" t="s">
        <v>548</v>
      </c>
      <c r="E129" s="130">
        <v>200</v>
      </c>
      <c r="F129" s="128">
        <f>F130</f>
        <v>1720</v>
      </c>
      <c r="G129" s="147">
        <f t="shared" si="35"/>
        <v>-1419.65</v>
      </c>
      <c r="H129" s="128">
        <f>H130</f>
        <v>300.34999999999991</v>
      </c>
      <c r="I129" s="128">
        <f t="shared" si="53"/>
        <v>300.35000000000002</v>
      </c>
      <c r="J129" s="114">
        <f t="shared" si="39"/>
        <v>100.00000000000004</v>
      </c>
    </row>
    <row r="130" spans="1:10" s="175" customFormat="1" x14ac:dyDescent="0.2">
      <c r="A130" s="112" t="s">
        <v>85</v>
      </c>
      <c r="B130" s="113" t="s">
        <v>76</v>
      </c>
      <c r="C130" s="113" t="s">
        <v>93</v>
      </c>
      <c r="D130" s="123" t="s">
        <v>548</v>
      </c>
      <c r="E130" s="130">
        <v>240</v>
      </c>
      <c r="F130" s="128">
        <v>1720</v>
      </c>
      <c r="G130" s="147">
        <f t="shared" si="35"/>
        <v>-1419.65</v>
      </c>
      <c r="H130" s="128">
        <f>1720-1419.65</f>
        <v>300.34999999999991</v>
      </c>
      <c r="I130" s="128">
        <v>300.35000000000002</v>
      </c>
      <c r="J130" s="114">
        <f t="shared" si="39"/>
        <v>100.00000000000004</v>
      </c>
    </row>
    <row r="131" spans="1:10" s="175" customFormat="1" ht="14.25" customHeight="1" x14ac:dyDescent="0.2">
      <c r="A131" s="151" t="s">
        <v>565</v>
      </c>
      <c r="B131" s="107" t="s">
        <v>76</v>
      </c>
      <c r="C131" s="107" t="s">
        <v>93</v>
      </c>
      <c r="D131" s="107" t="s">
        <v>103</v>
      </c>
      <c r="E131" s="107"/>
      <c r="F131" s="108">
        <f>F132</f>
        <v>800</v>
      </c>
      <c r="G131" s="147">
        <f t="shared" si="35"/>
        <v>-441.79999999999995</v>
      </c>
      <c r="H131" s="108">
        <f>H132</f>
        <v>358.20000000000005</v>
      </c>
      <c r="I131" s="108">
        <f t="shared" ref="I131:I134" si="54">I132</f>
        <v>320.7</v>
      </c>
      <c r="J131" s="108">
        <f t="shared" si="39"/>
        <v>89.530988274706857</v>
      </c>
    </row>
    <row r="132" spans="1:10" s="175" customFormat="1" x14ac:dyDescent="0.2">
      <c r="A132" s="146" t="s">
        <v>487</v>
      </c>
      <c r="B132" s="104" t="s">
        <v>76</v>
      </c>
      <c r="C132" s="104" t="s">
        <v>93</v>
      </c>
      <c r="D132" s="104" t="s">
        <v>489</v>
      </c>
      <c r="E132" s="104"/>
      <c r="F132" s="105">
        <f>F133</f>
        <v>800</v>
      </c>
      <c r="G132" s="147">
        <f t="shared" si="35"/>
        <v>-441.79999999999995</v>
      </c>
      <c r="H132" s="105">
        <f>H133</f>
        <v>358.20000000000005</v>
      </c>
      <c r="I132" s="105">
        <f t="shared" si="54"/>
        <v>320.7</v>
      </c>
      <c r="J132" s="105">
        <f t="shared" si="39"/>
        <v>89.530988274706857</v>
      </c>
    </row>
    <row r="133" spans="1:10" s="175" customFormat="1" x14ac:dyDescent="0.2">
      <c r="A133" s="133" t="s">
        <v>488</v>
      </c>
      <c r="B133" s="118" t="s">
        <v>76</v>
      </c>
      <c r="C133" s="118" t="s">
        <v>93</v>
      </c>
      <c r="D133" s="118" t="s">
        <v>566</v>
      </c>
      <c r="E133" s="118"/>
      <c r="F133" s="119">
        <f>F134</f>
        <v>800</v>
      </c>
      <c r="G133" s="147">
        <f t="shared" si="35"/>
        <v>-441.79999999999995</v>
      </c>
      <c r="H133" s="119">
        <f>H134</f>
        <v>358.20000000000005</v>
      </c>
      <c r="I133" s="119">
        <f t="shared" si="54"/>
        <v>320.7</v>
      </c>
      <c r="J133" s="119">
        <f t="shared" si="39"/>
        <v>89.530988274706857</v>
      </c>
    </row>
    <row r="134" spans="1:10" s="175" customFormat="1" ht="24" x14ac:dyDescent="0.2">
      <c r="A134" s="112" t="s">
        <v>79</v>
      </c>
      <c r="B134" s="113" t="s">
        <v>76</v>
      </c>
      <c r="C134" s="113" t="s">
        <v>93</v>
      </c>
      <c r="D134" s="113" t="s">
        <v>566</v>
      </c>
      <c r="E134" s="113" t="s">
        <v>80</v>
      </c>
      <c r="F134" s="114">
        <f>F135</f>
        <v>800</v>
      </c>
      <c r="G134" s="147">
        <f t="shared" si="35"/>
        <v>-441.79999999999995</v>
      </c>
      <c r="H134" s="114">
        <f>H135</f>
        <v>358.20000000000005</v>
      </c>
      <c r="I134" s="114">
        <f t="shared" si="54"/>
        <v>320.7</v>
      </c>
      <c r="J134" s="114">
        <f t="shared" si="39"/>
        <v>89.530988274706857</v>
      </c>
    </row>
    <row r="135" spans="1:10" s="175" customFormat="1" x14ac:dyDescent="0.2">
      <c r="A135" s="112" t="s">
        <v>81</v>
      </c>
      <c r="B135" s="113" t="s">
        <v>76</v>
      </c>
      <c r="C135" s="113" t="s">
        <v>93</v>
      </c>
      <c r="D135" s="113" t="s">
        <v>566</v>
      </c>
      <c r="E135" s="113" t="s">
        <v>82</v>
      </c>
      <c r="F135" s="114">
        <v>800</v>
      </c>
      <c r="G135" s="147">
        <f t="shared" si="35"/>
        <v>-441.79999999999995</v>
      </c>
      <c r="H135" s="114">
        <f>800-241.8-200</f>
        <v>358.20000000000005</v>
      </c>
      <c r="I135" s="114">
        <v>320.7</v>
      </c>
      <c r="J135" s="114">
        <f t="shared" si="39"/>
        <v>89.530988274706857</v>
      </c>
    </row>
    <row r="136" spans="1:10" s="175" customFormat="1" x14ac:dyDescent="0.2">
      <c r="A136" s="138" t="s">
        <v>74</v>
      </c>
      <c r="B136" s="118" t="s">
        <v>76</v>
      </c>
      <c r="C136" s="118" t="s">
        <v>93</v>
      </c>
      <c r="D136" s="118" t="s">
        <v>209</v>
      </c>
      <c r="E136" s="118"/>
      <c r="F136" s="119" t="e">
        <f>F137</f>
        <v>#REF!</v>
      </c>
      <c r="G136" s="147" t="e">
        <f t="shared" si="35"/>
        <v>#REF!</v>
      </c>
      <c r="H136" s="119">
        <f>H137</f>
        <v>69154.971730000005</v>
      </c>
      <c r="I136" s="119">
        <f t="shared" ref="I136" si="55">I137</f>
        <v>61759.61335</v>
      </c>
      <c r="J136" s="119">
        <f t="shared" si="39"/>
        <v>89.306107435234722</v>
      </c>
    </row>
    <row r="137" spans="1:10" s="175" customFormat="1" x14ac:dyDescent="0.2">
      <c r="A137" s="103" t="s">
        <v>297</v>
      </c>
      <c r="B137" s="104" t="s">
        <v>76</v>
      </c>
      <c r="C137" s="104" t="s">
        <v>93</v>
      </c>
      <c r="D137" s="104" t="s">
        <v>210</v>
      </c>
      <c r="E137" s="104"/>
      <c r="F137" s="105" t="e">
        <f>F138+F156+F159+F162+F166+#REF!+F169</f>
        <v>#REF!</v>
      </c>
      <c r="G137" s="147" t="e">
        <f t="shared" si="35"/>
        <v>#REF!</v>
      </c>
      <c r="H137" s="105">
        <f>H138+H156+H159+H162+H166+H169</f>
        <v>69154.971730000005</v>
      </c>
      <c r="I137" s="105">
        <f t="shared" ref="I137" si="56">I138+I156+I159+I162+I166+I169</f>
        <v>61759.61335</v>
      </c>
      <c r="J137" s="105">
        <f t="shared" si="39"/>
        <v>89.306107435234722</v>
      </c>
    </row>
    <row r="138" spans="1:10" s="175" customFormat="1" x14ac:dyDescent="0.2">
      <c r="A138" s="136" t="s">
        <v>471</v>
      </c>
      <c r="B138" s="132" t="s">
        <v>76</v>
      </c>
      <c r="C138" s="132" t="s">
        <v>93</v>
      </c>
      <c r="D138" s="132" t="s">
        <v>210</v>
      </c>
      <c r="E138" s="118"/>
      <c r="F138" s="137">
        <f>F139+F146+F149</f>
        <v>53797</v>
      </c>
      <c r="G138" s="147">
        <f t="shared" si="35"/>
        <v>0</v>
      </c>
      <c r="H138" s="137">
        <f>H139+H146+H149</f>
        <v>53797</v>
      </c>
      <c r="I138" s="137">
        <f t="shared" ref="I138" si="57">I139+I146+I149</f>
        <v>52514.894650000002</v>
      </c>
      <c r="J138" s="137">
        <f t="shared" si="39"/>
        <v>97.616771660129757</v>
      </c>
    </row>
    <row r="139" spans="1:10" s="175" customFormat="1" x14ac:dyDescent="0.2">
      <c r="A139" s="103" t="s">
        <v>526</v>
      </c>
      <c r="B139" s="104" t="s">
        <v>76</v>
      </c>
      <c r="C139" s="104" t="s">
        <v>93</v>
      </c>
      <c r="D139" s="104" t="s">
        <v>315</v>
      </c>
      <c r="E139" s="104"/>
      <c r="F139" s="105">
        <f>F140+F142+F144</f>
        <v>42202</v>
      </c>
      <c r="G139" s="147">
        <f t="shared" si="35"/>
        <v>0</v>
      </c>
      <c r="H139" s="105">
        <f>H140+H142+H144</f>
        <v>42202</v>
      </c>
      <c r="I139" s="105">
        <f t="shared" ref="I139" si="58">I140+I142+I144</f>
        <v>42163.167240000002</v>
      </c>
      <c r="J139" s="105">
        <f t="shared" si="39"/>
        <v>99.907983602672871</v>
      </c>
    </row>
    <row r="140" spans="1:10" s="175" customFormat="1" ht="24" x14ac:dyDescent="0.2">
      <c r="A140" s="112" t="s">
        <v>79</v>
      </c>
      <c r="B140" s="113" t="s">
        <v>76</v>
      </c>
      <c r="C140" s="113" t="s">
        <v>93</v>
      </c>
      <c r="D140" s="113" t="s">
        <v>315</v>
      </c>
      <c r="E140" s="113" t="s">
        <v>80</v>
      </c>
      <c r="F140" s="114">
        <f>F141</f>
        <v>34260</v>
      </c>
      <c r="G140" s="147">
        <f t="shared" si="35"/>
        <v>900</v>
      </c>
      <c r="H140" s="114">
        <f>H141</f>
        <v>35160</v>
      </c>
      <c r="I140" s="114">
        <f t="shared" ref="I140" si="59">I141</f>
        <v>35160</v>
      </c>
      <c r="J140" s="114">
        <f t="shared" si="39"/>
        <v>100</v>
      </c>
    </row>
    <row r="141" spans="1:10" s="175" customFormat="1" x14ac:dyDescent="0.2">
      <c r="A141" s="112" t="s">
        <v>472</v>
      </c>
      <c r="B141" s="113" t="s">
        <v>76</v>
      </c>
      <c r="C141" s="113" t="s">
        <v>93</v>
      </c>
      <c r="D141" s="113" t="s">
        <v>315</v>
      </c>
      <c r="E141" s="113" t="s">
        <v>473</v>
      </c>
      <c r="F141" s="114">
        <f>26240+100+7920</f>
        <v>34260</v>
      </c>
      <c r="G141" s="147">
        <f t="shared" si="35"/>
        <v>900</v>
      </c>
      <c r="H141" s="114">
        <f>26240+100+7920-1000+1900</f>
        <v>35160</v>
      </c>
      <c r="I141" s="114">
        <v>35160</v>
      </c>
      <c r="J141" s="114">
        <f t="shared" si="39"/>
        <v>100</v>
      </c>
    </row>
    <row r="142" spans="1:10" s="175" customFormat="1" x14ac:dyDescent="0.2">
      <c r="A142" s="112" t="s">
        <v>294</v>
      </c>
      <c r="B142" s="113" t="s">
        <v>76</v>
      </c>
      <c r="C142" s="113" t="s">
        <v>93</v>
      </c>
      <c r="D142" s="113" t="s">
        <v>315</v>
      </c>
      <c r="E142" s="113" t="s">
        <v>84</v>
      </c>
      <c r="F142" s="114">
        <f>F143</f>
        <v>7692</v>
      </c>
      <c r="G142" s="147">
        <f t="shared" si="35"/>
        <v>-810.06404999999995</v>
      </c>
      <c r="H142" s="114">
        <f>H143</f>
        <v>6881.93595</v>
      </c>
      <c r="I142" s="114">
        <f t="shared" ref="I142" si="60">I143</f>
        <v>6843.1031899999998</v>
      </c>
      <c r="J142" s="114">
        <f t="shared" si="39"/>
        <v>99.435729127935275</v>
      </c>
    </row>
    <row r="143" spans="1:10" s="175" customFormat="1" x14ac:dyDescent="0.2">
      <c r="A143" s="112" t="s">
        <v>85</v>
      </c>
      <c r="B143" s="113" t="s">
        <v>76</v>
      </c>
      <c r="C143" s="113" t="s">
        <v>93</v>
      </c>
      <c r="D143" s="113" t="s">
        <v>315</v>
      </c>
      <c r="E143" s="113" t="s">
        <v>86</v>
      </c>
      <c r="F143" s="114">
        <f>130+1400+50+100+6012</f>
        <v>7692</v>
      </c>
      <c r="G143" s="147">
        <f t="shared" si="35"/>
        <v>-810.06404999999995</v>
      </c>
      <c r="H143" s="114">
        <f>130+1400+50+100+6012+1000-1810.06405</f>
        <v>6881.93595</v>
      </c>
      <c r="I143" s="114">
        <v>6843.1031899999998</v>
      </c>
      <c r="J143" s="114">
        <f t="shared" si="39"/>
        <v>99.435729127935275</v>
      </c>
    </row>
    <row r="144" spans="1:10" s="175" customFormat="1" x14ac:dyDescent="0.2">
      <c r="A144" s="112" t="s">
        <v>87</v>
      </c>
      <c r="B144" s="113" t="s">
        <v>76</v>
      </c>
      <c r="C144" s="113" t="s">
        <v>93</v>
      </c>
      <c r="D144" s="113" t="s">
        <v>315</v>
      </c>
      <c r="E144" s="113" t="s">
        <v>88</v>
      </c>
      <c r="F144" s="114">
        <f>F145</f>
        <v>250</v>
      </c>
      <c r="G144" s="147">
        <f t="shared" si="35"/>
        <v>-89.935949999999991</v>
      </c>
      <c r="H144" s="114">
        <f>H145</f>
        <v>160.06405000000001</v>
      </c>
      <c r="I144" s="114">
        <f t="shared" ref="I144" si="61">I145</f>
        <v>160.06405000000001</v>
      </c>
      <c r="J144" s="114">
        <f t="shared" si="39"/>
        <v>100</v>
      </c>
    </row>
    <row r="145" spans="1:10" s="175" customFormat="1" x14ac:dyDescent="0.2">
      <c r="A145" s="112" t="s">
        <v>500</v>
      </c>
      <c r="B145" s="113" t="s">
        <v>76</v>
      </c>
      <c r="C145" s="113" t="s">
        <v>93</v>
      </c>
      <c r="D145" s="113" t="s">
        <v>315</v>
      </c>
      <c r="E145" s="113" t="s">
        <v>89</v>
      </c>
      <c r="F145" s="114">
        <v>250</v>
      </c>
      <c r="G145" s="147">
        <f t="shared" si="35"/>
        <v>-89.935949999999991</v>
      </c>
      <c r="H145" s="114">
        <f>250-89.93595</f>
        <v>160.06405000000001</v>
      </c>
      <c r="I145" s="114">
        <v>160.06405000000001</v>
      </c>
      <c r="J145" s="114">
        <f t="shared" si="39"/>
        <v>100</v>
      </c>
    </row>
    <row r="146" spans="1:10" s="175" customFormat="1" x14ac:dyDescent="0.2">
      <c r="A146" s="103" t="s">
        <v>128</v>
      </c>
      <c r="B146" s="104" t="s">
        <v>76</v>
      </c>
      <c r="C146" s="104" t="s">
        <v>93</v>
      </c>
      <c r="D146" s="104" t="s">
        <v>320</v>
      </c>
      <c r="E146" s="104"/>
      <c r="F146" s="105">
        <f>F147</f>
        <v>2880</v>
      </c>
      <c r="G146" s="147">
        <f t="shared" si="35"/>
        <v>0</v>
      </c>
      <c r="H146" s="105">
        <f>H147</f>
        <v>2880</v>
      </c>
      <c r="I146" s="105">
        <f t="shared" ref="I146:I147" si="62">I147</f>
        <v>2118.42346</v>
      </c>
      <c r="J146" s="105">
        <f t="shared" si="39"/>
        <v>73.556370138888894</v>
      </c>
    </row>
    <row r="147" spans="1:10" s="175" customFormat="1" x14ac:dyDescent="0.2">
      <c r="A147" s="112" t="s">
        <v>104</v>
      </c>
      <c r="B147" s="113" t="s">
        <v>76</v>
      </c>
      <c r="C147" s="113" t="s">
        <v>93</v>
      </c>
      <c r="D147" s="113" t="s">
        <v>320</v>
      </c>
      <c r="E147" s="113" t="s">
        <v>391</v>
      </c>
      <c r="F147" s="114">
        <f>F148</f>
        <v>2880</v>
      </c>
      <c r="G147" s="147">
        <f t="shared" si="35"/>
        <v>0</v>
      </c>
      <c r="H147" s="114">
        <f>H148</f>
        <v>2880</v>
      </c>
      <c r="I147" s="114">
        <f t="shared" si="62"/>
        <v>2118.42346</v>
      </c>
      <c r="J147" s="114">
        <f t="shared" si="39"/>
        <v>73.556370138888894</v>
      </c>
    </row>
    <row r="148" spans="1:10" s="175" customFormat="1" x14ac:dyDescent="0.2">
      <c r="A148" s="112" t="s">
        <v>105</v>
      </c>
      <c r="B148" s="113" t="s">
        <v>76</v>
      </c>
      <c r="C148" s="113" t="s">
        <v>93</v>
      </c>
      <c r="D148" s="113" t="s">
        <v>320</v>
      </c>
      <c r="E148" s="113" t="s">
        <v>409</v>
      </c>
      <c r="F148" s="114">
        <v>2880</v>
      </c>
      <c r="G148" s="147">
        <f t="shared" si="35"/>
        <v>0</v>
      </c>
      <c r="H148" s="114">
        <v>2880</v>
      </c>
      <c r="I148" s="114">
        <v>2118.42346</v>
      </c>
      <c r="J148" s="114">
        <f t="shared" si="39"/>
        <v>73.556370138888894</v>
      </c>
    </row>
    <row r="149" spans="1:10" s="175" customFormat="1" x14ac:dyDescent="0.2">
      <c r="A149" s="103" t="s">
        <v>687</v>
      </c>
      <c r="B149" s="104" t="s">
        <v>76</v>
      </c>
      <c r="C149" s="104" t="s">
        <v>93</v>
      </c>
      <c r="D149" s="104" t="s">
        <v>321</v>
      </c>
      <c r="E149" s="104"/>
      <c r="F149" s="105">
        <f>F150+F152+F154</f>
        <v>8715</v>
      </c>
      <c r="G149" s="147">
        <f t="shared" ref="G149:G216" si="63">H149-F149</f>
        <v>0</v>
      </c>
      <c r="H149" s="105">
        <f>H150+H152+H154</f>
        <v>8715</v>
      </c>
      <c r="I149" s="105">
        <f t="shared" ref="I149" si="64">I150+I152+I154</f>
        <v>8233.3039499999995</v>
      </c>
      <c r="J149" s="105">
        <f t="shared" si="39"/>
        <v>94.472793459552491</v>
      </c>
    </row>
    <row r="150" spans="1:10" s="175" customFormat="1" ht="24" x14ac:dyDescent="0.2">
      <c r="A150" s="112" t="s">
        <v>79</v>
      </c>
      <c r="B150" s="113" t="s">
        <v>76</v>
      </c>
      <c r="C150" s="113" t="s">
        <v>93</v>
      </c>
      <c r="D150" s="113" t="s">
        <v>321</v>
      </c>
      <c r="E150" s="113" t="s">
        <v>80</v>
      </c>
      <c r="F150" s="114">
        <f>F151</f>
        <v>8365</v>
      </c>
      <c r="G150" s="147">
        <f t="shared" si="63"/>
        <v>0</v>
      </c>
      <c r="H150" s="114">
        <f>H151</f>
        <v>8365</v>
      </c>
      <c r="I150" s="114">
        <f t="shared" ref="I150" si="65">I151</f>
        <v>7951.9695700000002</v>
      </c>
      <c r="J150" s="114">
        <f t="shared" si="39"/>
        <v>95.062397728631211</v>
      </c>
    </row>
    <row r="151" spans="1:10" s="175" customFormat="1" x14ac:dyDescent="0.2">
      <c r="A151" s="112" t="s">
        <v>472</v>
      </c>
      <c r="B151" s="113" t="s">
        <v>76</v>
      </c>
      <c r="C151" s="113" t="s">
        <v>93</v>
      </c>
      <c r="D151" s="113" t="s">
        <v>321</v>
      </c>
      <c r="E151" s="113" t="s">
        <v>473</v>
      </c>
      <c r="F151" s="114">
        <f>6305+12+1903+25+120</f>
        <v>8365</v>
      </c>
      <c r="G151" s="147">
        <f t="shared" si="63"/>
        <v>0</v>
      </c>
      <c r="H151" s="114">
        <f>6305+12+1903+25+120</f>
        <v>8365</v>
      </c>
      <c r="I151" s="114">
        <v>7951.9695700000002</v>
      </c>
      <c r="J151" s="114">
        <f t="shared" si="39"/>
        <v>95.062397728631211</v>
      </c>
    </row>
    <row r="152" spans="1:10" s="175" customFormat="1" x14ac:dyDescent="0.2">
      <c r="A152" s="112" t="s">
        <v>294</v>
      </c>
      <c r="B152" s="113" t="s">
        <v>76</v>
      </c>
      <c r="C152" s="113" t="s">
        <v>93</v>
      </c>
      <c r="D152" s="113" t="s">
        <v>321</v>
      </c>
      <c r="E152" s="113" t="s">
        <v>84</v>
      </c>
      <c r="F152" s="114">
        <f>F153</f>
        <v>335</v>
      </c>
      <c r="G152" s="147">
        <f t="shared" si="63"/>
        <v>0</v>
      </c>
      <c r="H152" s="114">
        <f>H153</f>
        <v>335</v>
      </c>
      <c r="I152" s="114">
        <f t="shared" ref="I152" si="66">I153</f>
        <v>274.53438</v>
      </c>
      <c r="J152" s="114">
        <f t="shared" si="39"/>
        <v>81.950561194029845</v>
      </c>
    </row>
    <row r="153" spans="1:10" s="175" customFormat="1" x14ac:dyDescent="0.2">
      <c r="A153" s="112" t="s">
        <v>85</v>
      </c>
      <c r="B153" s="113" t="s">
        <v>76</v>
      </c>
      <c r="C153" s="113" t="s">
        <v>93</v>
      </c>
      <c r="D153" s="113" t="s">
        <v>321</v>
      </c>
      <c r="E153" s="113" t="s">
        <v>86</v>
      </c>
      <c r="F153" s="114">
        <f>10+30+185+40+70</f>
        <v>335</v>
      </c>
      <c r="G153" s="147">
        <f t="shared" si="63"/>
        <v>0</v>
      </c>
      <c r="H153" s="114">
        <f>10+30+185+40+70</f>
        <v>335</v>
      </c>
      <c r="I153" s="114">
        <v>274.53438</v>
      </c>
      <c r="J153" s="114">
        <f t="shared" si="39"/>
        <v>81.950561194029845</v>
      </c>
    </row>
    <row r="154" spans="1:10" s="175" customFormat="1" x14ac:dyDescent="0.2">
      <c r="A154" s="112" t="s">
        <v>87</v>
      </c>
      <c r="B154" s="113" t="s">
        <v>76</v>
      </c>
      <c r="C154" s="113" t="s">
        <v>93</v>
      </c>
      <c r="D154" s="113" t="s">
        <v>321</v>
      </c>
      <c r="E154" s="113" t="s">
        <v>88</v>
      </c>
      <c r="F154" s="114">
        <f>F155</f>
        <v>15</v>
      </c>
      <c r="G154" s="147">
        <f t="shared" si="63"/>
        <v>0</v>
      </c>
      <c r="H154" s="114">
        <f>H155</f>
        <v>15</v>
      </c>
      <c r="I154" s="114">
        <f t="shared" ref="I154" si="67">I155</f>
        <v>6.8</v>
      </c>
      <c r="J154" s="114">
        <f t="shared" si="39"/>
        <v>45.333333333333329</v>
      </c>
    </row>
    <row r="155" spans="1:10" s="175" customFormat="1" x14ac:dyDescent="0.2">
      <c r="A155" s="112" t="s">
        <v>500</v>
      </c>
      <c r="B155" s="113" t="s">
        <v>76</v>
      </c>
      <c r="C155" s="113" t="s">
        <v>93</v>
      </c>
      <c r="D155" s="113" t="s">
        <v>321</v>
      </c>
      <c r="E155" s="113" t="s">
        <v>89</v>
      </c>
      <c r="F155" s="114">
        <v>15</v>
      </c>
      <c r="G155" s="147">
        <f t="shared" si="63"/>
        <v>0</v>
      </c>
      <c r="H155" s="114">
        <v>15</v>
      </c>
      <c r="I155" s="114">
        <v>6.8</v>
      </c>
      <c r="J155" s="114">
        <f t="shared" si="39"/>
        <v>45.333333333333329</v>
      </c>
    </row>
    <row r="156" spans="1:10" s="175" customFormat="1" ht="24" x14ac:dyDescent="0.2">
      <c r="A156" s="103" t="s">
        <v>130</v>
      </c>
      <c r="B156" s="104" t="s">
        <v>76</v>
      </c>
      <c r="C156" s="104" t="s">
        <v>93</v>
      </c>
      <c r="D156" s="104" t="s">
        <v>57</v>
      </c>
      <c r="E156" s="104"/>
      <c r="F156" s="105">
        <f>F157</f>
        <v>3000</v>
      </c>
      <c r="G156" s="147">
        <f t="shared" si="63"/>
        <v>0</v>
      </c>
      <c r="H156" s="105">
        <f>H157</f>
        <v>3000</v>
      </c>
      <c r="I156" s="105">
        <f t="shared" ref="I156:I157" si="68">I157</f>
        <v>1774</v>
      </c>
      <c r="J156" s="105">
        <f t="shared" ref="J156:J219" si="69">I156/H156*100</f>
        <v>59.13333333333334</v>
      </c>
    </row>
    <row r="157" spans="1:10" s="175" customFormat="1" x14ac:dyDescent="0.2">
      <c r="A157" s="112" t="s">
        <v>87</v>
      </c>
      <c r="B157" s="113" t="s">
        <v>76</v>
      </c>
      <c r="C157" s="113" t="s">
        <v>93</v>
      </c>
      <c r="D157" s="113" t="s">
        <v>57</v>
      </c>
      <c r="E157" s="113" t="s">
        <v>88</v>
      </c>
      <c r="F157" s="114">
        <f>F158</f>
        <v>3000</v>
      </c>
      <c r="G157" s="147">
        <f t="shared" si="63"/>
        <v>0</v>
      </c>
      <c r="H157" s="114">
        <f>H158</f>
        <v>3000</v>
      </c>
      <c r="I157" s="114">
        <f t="shared" si="68"/>
        <v>1774</v>
      </c>
      <c r="J157" s="114">
        <f t="shared" si="69"/>
        <v>59.13333333333334</v>
      </c>
    </row>
    <row r="158" spans="1:10" s="175" customFormat="1" x14ac:dyDescent="0.2">
      <c r="A158" s="112" t="s">
        <v>500</v>
      </c>
      <c r="B158" s="113" t="s">
        <v>76</v>
      </c>
      <c r="C158" s="113" t="s">
        <v>93</v>
      </c>
      <c r="D158" s="113" t="s">
        <v>57</v>
      </c>
      <c r="E158" s="113" t="s">
        <v>89</v>
      </c>
      <c r="F158" s="114">
        <v>3000</v>
      </c>
      <c r="G158" s="147">
        <f t="shared" si="63"/>
        <v>0</v>
      </c>
      <c r="H158" s="114">
        <v>3000</v>
      </c>
      <c r="I158" s="114">
        <v>1774</v>
      </c>
      <c r="J158" s="114">
        <f t="shared" si="69"/>
        <v>59.13333333333334</v>
      </c>
    </row>
    <row r="159" spans="1:10" s="175" customFormat="1" x14ac:dyDescent="0.2">
      <c r="A159" s="103" t="s">
        <v>131</v>
      </c>
      <c r="B159" s="104" t="s">
        <v>76</v>
      </c>
      <c r="C159" s="104" t="s">
        <v>93</v>
      </c>
      <c r="D159" s="104" t="s">
        <v>132</v>
      </c>
      <c r="E159" s="104"/>
      <c r="F159" s="105">
        <f>F160</f>
        <v>1000</v>
      </c>
      <c r="G159" s="147">
        <f t="shared" si="63"/>
        <v>0</v>
      </c>
      <c r="H159" s="105">
        <f>H160</f>
        <v>1000</v>
      </c>
      <c r="I159" s="287">
        <f t="shared" ref="I159:I160" si="70">I160</f>
        <v>0</v>
      </c>
      <c r="J159" s="287">
        <f t="shared" si="69"/>
        <v>0</v>
      </c>
    </row>
    <row r="160" spans="1:10" s="175" customFormat="1" x14ac:dyDescent="0.2">
      <c r="A160" s="112" t="s">
        <v>87</v>
      </c>
      <c r="B160" s="113" t="s">
        <v>76</v>
      </c>
      <c r="C160" s="113" t="s">
        <v>93</v>
      </c>
      <c r="D160" s="113" t="s">
        <v>132</v>
      </c>
      <c r="E160" s="113" t="s">
        <v>88</v>
      </c>
      <c r="F160" s="114">
        <f>F161</f>
        <v>1000</v>
      </c>
      <c r="G160" s="147">
        <f t="shared" si="63"/>
        <v>0</v>
      </c>
      <c r="H160" s="114">
        <f>H161</f>
        <v>1000</v>
      </c>
      <c r="I160" s="212">
        <f t="shared" si="70"/>
        <v>0</v>
      </c>
      <c r="J160" s="287">
        <f t="shared" si="69"/>
        <v>0</v>
      </c>
    </row>
    <row r="161" spans="1:10" s="175" customFormat="1" x14ac:dyDescent="0.2">
      <c r="A161" s="112" t="s">
        <v>500</v>
      </c>
      <c r="B161" s="113" t="s">
        <v>76</v>
      </c>
      <c r="C161" s="113" t="s">
        <v>93</v>
      </c>
      <c r="D161" s="113" t="s">
        <v>132</v>
      </c>
      <c r="E161" s="113" t="s">
        <v>89</v>
      </c>
      <c r="F161" s="114">
        <v>1000</v>
      </c>
      <c r="G161" s="147">
        <f t="shared" si="63"/>
        <v>0</v>
      </c>
      <c r="H161" s="114">
        <v>1000</v>
      </c>
      <c r="I161" s="212">
        <v>0</v>
      </c>
      <c r="J161" s="287">
        <f t="shared" si="69"/>
        <v>0</v>
      </c>
    </row>
    <row r="162" spans="1:10" s="175" customFormat="1" x14ac:dyDescent="0.2">
      <c r="A162" s="103" t="s">
        <v>312</v>
      </c>
      <c r="B162" s="104" t="s">
        <v>76</v>
      </c>
      <c r="C162" s="104" t="s">
        <v>93</v>
      </c>
      <c r="D162" s="135" t="s">
        <v>337</v>
      </c>
      <c r="E162" s="104"/>
      <c r="F162" s="127">
        <f>F163</f>
        <v>4000</v>
      </c>
      <c r="G162" s="147">
        <f t="shared" si="63"/>
        <v>4063.9717300000002</v>
      </c>
      <c r="H162" s="127">
        <f>H163</f>
        <v>8063.9717300000002</v>
      </c>
      <c r="I162" s="127">
        <f t="shared" ref="I162" si="71">I163</f>
        <v>4829.0568400000002</v>
      </c>
      <c r="J162" s="105">
        <f t="shared" si="69"/>
        <v>59.884347337611509</v>
      </c>
    </row>
    <row r="163" spans="1:10" s="175" customFormat="1" x14ac:dyDescent="0.2">
      <c r="A163" s="112" t="s">
        <v>87</v>
      </c>
      <c r="B163" s="113" t="s">
        <v>76</v>
      </c>
      <c r="C163" s="113" t="s">
        <v>93</v>
      </c>
      <c r="D163" s="123" t="s">
        <v>337</v>
      </c>
      <c r="E163" s="113" t="s">
        <v>88</v>
      </c>
      <c r="F163" s="128">
        <f>F164+F165</f>
        <v>4000</v>
      </c>
      <c r="G163" s="147">
        <f t="shared" si="63"/>
        <v>4063.9717300000002</v>
      </c>
      <c r="H163" s="128">
        <f>H164+H165</f>
        <v>8063.9717300000002</v>
      </c>
      <c r="I163" s="128">
        <f t="shared" ref="I163" si="72">I164+I165</f>
        <v>4829.0568400000002</v>
      </c>
      <c r="J163" s="114">
        <f t="shared" si="69"/>
        <v>59.884347337611509</v>
      </c>
    </row>
    <row r="164" spans="1:10" s="175" customFormat="1" x14ac:dyDescent="0.2">
      <c r="A164" s="112" t="s">
        <v>149</v>
      </c>
      <c r="B164" s="113" t="s">
        <v>76</v>
      </c>
      <c r="C164" s="113" t="s">
        <v>93</v>
      </c>
      <c r="D164" s="123" t="s">
        <v>337</v>
      </c>
      <c r="E164" s="113" t="s">
        <v>153</v>
      </c>
      <c r="F164" s="128">
        <f>1950+950+1000</f>
        <v>3900</v>
      </c>
      <c r="G164" s="147">
        <f t="shared" si="63"/>
        <v>4063.9717300000002</v>
      </c>
      <c r="H164" s="128">
        <f>1950+950+1000-500+8.323+1800+5+1200+900+450+300.64873-100</f>
        <v>7963.9717300000002</v>
      </c>
      <c r="I164" s="128">
        <v>4829.0568400000002</v>
      </c>
      <c r="J164" s="114">
        <f t="shared" si="69"/>
        <v>60.636288069797054</v>
      </c>
    </row>
    <row r="165" spans="1:10" s="175" customFormat="1" x14ac:dyDescent="0.2">
      <c r="A165" s="112" t="s">
        <v>500</v>
      </c>
      <c r="B165" s="113" t="s">
        <v>76</v>
      </c>
      <c r="C165" s="113" t="s">
        <v>93</v>
      </c>
      <c r="D165" s="123" t="s">
        <v>337</v>
      </c>
      <c r="E165" s="113" t="s">
        <v>89</v>
      </c>
      <c r="F165" s="128">
        <f>50+50</f>
        <v>100</v>
      </c>
      <c r="G165" s="147">
        <f t="shared" si="63"/>
        <v>0</v>
      </c>
      <c r="H165" s="128">
        <f>50+50</f>
        <v>100</v>
      </c>
      <c r="I165" s="285">
        <v>0</v>
      </c>
      <c r="J165" s="285">
        <f t="shared" si="69"/>
        <v>0</v>
      </c>
    </row>
    <row r="166" spans="1:10" s="175" customFormat="1" ht="24" x14ac:dyDescent="0.2">
      <c r="A166" s="117" t="s">
        <v>301</v>
      </c>
      <c r="B166" s="118" t="s">
        <v>76</v>
      </c>
      <c r="C166" s="118" t="s">
        <v>93</v>
      </c>
      <c r="D166" s="118" t="s">
        <v>653</v>
      </c>
      <c r="E166" s="144"/>
      <c r="F166" s="119">
        <v>1000</v>
      </c>
      <c r="G166" s="147">
        <f t="shared" si="63"/>
        <v>0</v>
      </c>
      <c r="H166" s="119">
        <f>H167</f>
        <v>1000</v>
      </c>
      <c r="I166" s="119">
        <f>I167</f>
        <v>454.81666000000001</v>
      </c>
      <c r="J166" s="119">
        <f t="shared" si="69"/>
        <v>45.481666000000004</v>
      </c>
    </row>
    <row r="167" spans="1:10" s="175" customFormat="1" x14ac:dyDescent="0.2">
      <c r="A167" s="112" t="s">
        <v>294</v>
      </c>
      <c r="B167" s="113" t="s">
        <v>76</v>
      </c>
      <c r="C167" s="113" t="s">
        <v>93</v>
      </c>
      <c r="D167" s="113" t="s">
        <v>653</v>
      </c>
      <c r="E167" s="130">
        <v>200</v>
      </c>
      <c r="F167" s="114">
        <v>1000</v>
      </c>
      <c r="G167" s="147">
        <f t="shared" si="63"/>
        <v>0</v>
      </c>
      <c r="H167" s="114">
        <f>H168</f>
        <v>1000</v>
      </c>
      <c r="I167" s="114">
        <f>I168</f>
        <v>454.81666000000001</v>
      </c>
      <c r="J167" s="114">
        <f t="shared" si="69"/>
        <v>45.481666000000004</v>
      </c>
    </row>
    <row r="168" spans="1:10" s="175" customFormat="1" x14ac:dyDescent="0.2">
      <c r="A168" s="112" t="s">
        <v>85</v>
      </c>
      <c r="B168" s="113" t="s">
        <v>76</v>
      </c>
      <c r="C168" s="113" t="s">
        <v>93</v>
      </c>
      <c r="D168" s="113" t="s">
        <v>653</v>
      </c>
      <c r="E168" s="113" t="s">
        <v>86</v>
      </c>
      <c r="F168" s="114">
        <v>1000</v>
      </c>
      <c r="G168" s="147">
        <f t="shared" si="63"/>
        <v>0</v>
      </c>
      <c r="H168" s="114">
        <v>1000</v>
      </c>
      <c r="I168" s="114">
        <v>454.81666000000001</v>
      </c>
      <c r="J168" s="114">
        <f t="shared" si="69"/>
        <v>45.481666000000004</v>
      </c>
    </row>
    <row r="169" spans="1:10" s="175" customFormat="1" x14ac:dyDescent="0.2">
      <c r="A169" s="117" t="s">
        <v>34</v>
      </c>
      <c r="B169" s="118" t="s">
        <v>76</v>
      </c>
      <c r="C169" s="118" t="s">
        <v>93</v>
      </c>
      <c r="D169" s="118" t="s">
        <v>209</v>
      </c>
      <c r="E169" s="118"/>
      <c r="F169" s="119">
        <v>2194</v>
      </c>
      <c r="G169" s="147">
        <f t="shared" si="63"/>
        <v>100</v>
      </c>
      <c r="H169" s="119">
        <f>H170</f>
        <v>2294</v>
      </c>
      <c r="I169" s="119">
        <f t="shared" ref="I169" si="73">I170</f>
        <v>2186.8452000000002</v>
      </c>
      <c r="J169" s="119">
        <f t="shared" si="69"/>
        <v>95.328910200523111</v>
      </c>
    </row>
    <row r="170" spans="1:10" s="175" customFormat="1" x14ac:dyDescent="0.2">
      <c r="A170" s="103" t="s">
        <v>108</v>
      </c>
      <c r="B170" s="104" t="s">
        <v>76</v>
      </c>
      <c r="C170" s="104" t="s">
        <v>93</v>
      </c>
      <c r="D170" s="104" t="s">
        <v>210</v>
      </c>
      <c r="E170" s="104"/>
      <c r="F170" s="105">
        <v>2194</v>
      </c>
      <c r="G170" s="147">
        <f t="shared" si="63"/>
        <v>100</v>
      </c>
      <c r="H170" s="105">
        <f>H171+H175</f>
        <v>2294</v>
      </c>
      <c r="I170" s="105">
        <f t="shared" ref="I170" si="74">I171+I175</f>
        <v>2186.8452000000002</v>
      </c>
      <c r="J170" s="105">
        <f t="shared" si="69"/>
        <v>95.328910200523111</v>
      </c>
    </row>
    <row r="171" spans="1:10" s="175" customFormat="1" ht="24" x14ac:dyDescent="0.2">
      <c r="A171" s="136" t="s">
        <v>27</v>
      </c>
      <c r="B171" s="132" t="s">
        <v>76</v>
      </c>
      <c r="C171" s="132" t="s">
        <v>93</v>
      </c>
      <c r="D171" s="132" t="s">
        <v>226</v>
      </c>
      <c r="E171" s="132"/>
      <c r="F171" s="137">
        <v>2194</v>
      </c>
      <c r="G171" s="147">
        <f t="shared" si="63"/>
        <v>0</v>
      </c>
      <c r="H171" s="137">
        <f>H172</f>
        <v>2194</v>
      </c>
      <c r="I171" s="137">
        <f t="shared" ref="I171:I173" si="75">I172</f>
        <v>2186.8452000000002</v>
      </c>
      <c r="J171" s="137">
        <f t="shared" si="69"/>
        <v>99.673892433910666</v>
      </c>
    </row>
    <row r="172" spans="1:10" s="175" customFormat="1" x14ac:dyDescent="0.2">
      <c r="A172" s="120" t="s">
        <v>35</v>
      </c>
      <c r="B172" s="104" t="s">
        <v>76</v>
      </c>
      <c r="C172" s="104" t="s">
        <v>93</v>
      </c>
      <c r="D172" s="104" t="s">
        <v>226</v>
      </c>
      <c r="E172" s="104"/>
      <c r="F172" s="105">
        <v>2194</v>
      </c>
      <c r="G172" s="147">
        <f t="shared" si="63"/>
        <v>0</v>
      </c>
      <c r="H172" s="105">
        <f>H173</f>
        <v>2194</v>
      </c>
      <c r="I172" s="105">
        <f t="shared" si="75"/>
        <v>2186.8452000000002</v>
      </c>
      <c r="J172" s="105">
        <f t="shared" si="69"/>
        <v>99.673892433910666</v>
      </c>
    </row>
    <row r="173" spans="1:10" s="175" customFormat="1" ht="24" x14ac:dyDescent="0.2">
      <c r="A173" s="112" t="s">
        <v>79</v>
      </c>
      <c r="B173" s="113" t="s">
        <v>76</v>
      </c>
      <c r="C173" s="113" t="s">
        <v>93</v>
      </c>
      <c r="D173" s="113" t="s">
        <v>226</v>
      </c>
      <c r="E173" s="113" t="s">
        <v>80</v>
      </c>
      <c r="F173" s="114">
        <v>2194</v>
      </c>
      <c r="G173" s="147">
        <f t="shared" si="63"/>
        <v>0</v>
      </c>
      <c r="H173" s="114">
        <f>H174</f>
        <v>2194</v>
      </c>
      <c r="I173" s="114">
        <f t="shared" si="75"/>
        <v>2186.8452000000002</v>
      </c>
      <c r="J173" s="114">
        <f t="shared" si="69"/>
        <v>99.673892433910666</v>
      </c>
    </row>
    <row r="174" spans="1:10" s="175" customFormat="1" x14ac:dyDescent="0.2">
      <c r="A174" s="112" t="s">
        <v>81</v>
      </c>
      <c r="B174" s="113" t="s">
        <v>76</v>
      </c>
      <c r="C174" s="113" t="s">
        <v>93</v>
      </c>
      <c r="D174" s="113" t="s">
        <v>226</v>
      </c>
      <c r="E174" s="113" t="s">
        <v>82</v>
      </c>
      <c r="F174" s="114">
        <v>2194</v>
      </c>
      <c r="G174" s="147">
        <f t="shared" si="63"/>
        <v>0</v>
      </c>
      <c r="H174" s="114">
        <v>2194</v>
      </c>
      <c r="I174" s="114">
        <v>2186.8452000000002</v>
      </c>
      <c r="J174" s="114">
        <f t="shared" si="69"/>
        <v>99.673892433910666</v>
      </c>
    </row>
    <row r="175" spans="1:10" s="175" customFormat="1" x14ac:dyDescent="0.2">
      <c r="A175" s="103" t="s">
        <v>764</v>
      </c>
      <c r="B175" s="104" t="s">
        <v>76</v>
      </c>
      <c r="C175" s="104" t="s">
        <v>93</v>
      </c>
      <c r="D175" s="104" t="s">
        <v>765</v>
      </c>
      <c r="E175" s="104"/>
      <c r="F175" s="114"/>
      <c r="G175" s="147"/>
      <c r="H175" s="105">
        <f>H176</f>
        <v>100</v>
      </c>
      <c r="I175" s="287">
        <f t="shared" ref="I175:I176" si="76">I176</f>
        <v>0</v>
      </c>
      <c r="J175" s="287">
        <f t="shared" si="69"/>
        <v>0</v>
      </c>
    </row>
    <row r="176" spans="1:10" s="175" customFormat="1" x14ac:dyDescent="0.2">
      <c r="A176" s="112" t="s">
        <v>95</v>
      </c>
      <c r="B176" s="113" t="s">
        <v>76</v>
      </c>
      <c r="C176" s="113" t="s">
        <v>93</v>
      </c>
      <c r="D176" s="113" t="s">
        <v>765</v>
      </c>
      <c r="E176" s="113" t="s">
        <v>94</v>
      </c>
      <c r="F176" s="114"/>
      <c r="G176" s="147"/>
      <c r="H176" s="114">
        <f>H177</f>
        <v>100</v>
      </c>
      <c r="I176" s="212">
        <f t="shared" si="76"/>
        <v>0</v>
      </c>
      <c r="J176" s="287">
        <f t="shared" si="69"/>
        <v>0</v>
      </c>
    </row>
    <row r="177" spans="1:10" s="175" customFormat="1" x14ac:dyDescent="0.2">
      <c r="A177" s="112" t="s">
        <v>96</v>
      </c>
      <c r="B177" s="113" t="s">
        <v>76</v>
      </c>
      <c r="C177" s="113" t="s">
        <v>93</v>
      </c>
      <c r="D177" s="113" t="s">
        <v>765</v>
      </c>
      <c r="E177" s="113" t="s">
        <v>97</v>
      </c>
      <c r="F177" s="114"/>
      <c r="G177" s="147"/>
      <c r="H177" s="114">
        <v>100</v>
      </c>
      <c r="I177" s="212">
        <v>0</v>
      </c>
      <c r="J177" s="287">
        <f t="shared" si="69"/>
        <v>0</v>
      </c>
    </row>
    <row r="178" spans="1:10" s="175" customFormat="1" x14ac:dyDescent="0.2">
      <c r="A178" s="103" t="s">
        <v>313</v>
      </c>
      <c r="B178" s="104" t="s">
        <v>469</v>
      </c>
      <c r="C178" s="104" t="s">
        <v>77</v>
      </c>
      <c r="D178" s="104"/>
      <c r="E178" s="104"/>
      <c r="F178" s="105">
        <f>F179</f>
        <v>5000</v>
      </c>
      <c r="G178" s="147">
        <f t="shared" si="63"/>
        <v>0</v>
      </c>
      <c r="H178" s="105">
        <f>H179</f>
        <v>5000</v>
      </c>
      <c r="I178" s="147">
        <f t="shared" ref="I178:I180" si="77">I179</f>
        <v>3766.3434600000001</v>
      </c>
      <c r="J178" s="105">
        <f t="shared" si="69"/>
        <v>75.326869200000004</v>
      </c>
    </row>
    <row r="179" spans="1:10" s="175" customFormat="1" ht="24" x14ac:dyDescent="0.2">
      <c r="A179" s="103" t="s">
        <v>352</v>
      </c>
      <c r="B179" s="104" t="s">
        <v>469</v>
      </c>
      <c r="C179" s="104" t="s">
        <v>470</v>
      </c>
      <c r="D179" s="104"/>
      <c r="E179" s="104"/>
      <c r="F179" s="105">
        <f>F180</f>
        <v>5000</v>
      </c>
      <c r="G179" s="147">
        <f t="shared" si="63"/>
        <v>0</v>
      </c>
      <c r="H179" s="105">
        <f>H180</f>
        <v>5000</v>
      </c>
      <c r="I179" s="105">
        <f t="shared" si="77"/>
        <v>3766.3434600000001</v>
      </c>
      <c r="J179" s="105">
        <f t="shared" si="69"/>
        <v>75.326869200000004</v>
      </c>
    </row>
    <row r="180" spans="1:10" s="175" customFormat="1" x14ac:dyDescent="0.2">
      <c r="A180" s="117" t="s">
        <v>439</v>
      </c>
      <c r="B180" s="118" t="s">
        <v>469</v>
      </c>
      <c r="C180" s="118" t="s">
        <v>470</v>
      </c>
      <c r="D180" s="118" t="s">
        <v>209</v>
      </c>
      <c r="E180" s="118"/>
      <c r="F180" s="119">
        <f>F181</f>
        <v>5000</v>
      </c>
      <c r="G180" s="147">
        <f t="shared" si="63"/>
        <v>0</v>
      </c>
      <c r="H180" s="119">
        <f>H181</f>
        <v>5000</v>
      </c>
      <c r="I180" s="119">
        <f t="shared" si="77"/>
        <v>3766.3434600000001</v>
      </c>
      <c r="J180" s="119">
        <f t="shared" si="69"/>
        <v>75.326869200000004</v>
      </c>
    </row>
    <row r="181" spans="1:10" s="175" customFormat="1" x14ac:dyDescent="0.2">
      <c r="A181" s="103" t="s">
        <v>297</v>
      </c>
      <c r="B181" s="104" t="s">
        <v>469</v>
      </c>
      <c r="C181" s="104" t="s">
        <v>470</v>
      </c>
      <c r="D181" s="104" t="s">
        <v>210</v>
      </c>
      <c r="E181" s="104"/>
      <c r="F181" s="105">
        <f>F185+F182</f>
        <v>5000</v>
      </c>
      <c r="G181" s="147">
        <f t="shared" si="63"/>
        <v>0</v>
      </c>
      <c r="H181" s="105">
        <f>H185+H182</f>
        <v>5000</v>
      </c>
      <c r="I181" s="105">
        <f t="shared" ref="I181" si="78">I185+I182</f>
        <v>3766.3434600000001</v>
      </c>
      <c r="J181" s="105">
        <f t="shared" si="69"/>
        <v>75.326869200000004</v>
      </c>
    </row>
    <row r="182" spans="1:10" s="175" customFormat="1" ht="24" x14ac:dyDescent="0.2">
      <c r="A182" s="103" t="s">
        <v>127</v>
      </c>
      <c r="B182" s="104" t="s">
        <v>469</v>
      </c>
      <c r="C182" s="104" t="s">
        <v>470</v>
      </c>
      <c r="D182" s="104" t="s">
        <v>210</v>
      </c>
      <c r="E182" s="104"/>
      <c r="F182" s="105">
        <f>F183</f>
        <v>1000</v>
      </c>
      <c r="G182" s="147">
        <f t="shared" si="63"/>
        <v>0</v>
      </c>
      <c r="H182" s="105">
        <f>H183</f>
        <v>1000</v>
      </c>
      <c r="I182" s="287">
        <f t="shared" ref="I182:I183" si="79">I183</f>
        <v>0</v>
      </c>
      <c r="J182" s="287">
        <f t="shared" si="69"/>
        <v>0</v>
      </c>
    </row>
    <row r="183" spans="1:10" s="175" customFormat="1" x14ac:dyDescent="0.2">
      <c r="A183" s="112" t="s">
        <v>294</v>
      </c>
      <c r="B183" s="113" t="s">
        <v>469</v>
      </c>
      <c r="C183" s="113" t="s">
        <v>470</v>
      </c>
      <c r="D183" s="113" t="s">
        <v>549</v>
      </c>
      <c r="E183" s="113" t="s">
        <v>84</v>
      </c>
      <c r="F183" s="114">
        <f>F184</f>
        <v>1000</v>
      </c>
      <c r="G183" s="147">
        <f t="shared" si="63"/>
        <v>0</v>
      </c>
      <c r="H183" s="114">
        <f>H184</f>
        <v>1000</v>
      </c>
      <c r="I183" s="212">
        <f t="shared" si="79"/>
        <v>0</v>
      </c>
      <c r="J183" s="287">
        <f t="shared" si="69"/>
        <v>0</v>
      </c>
    </row>
    <row r="184" spans="1:10" s="175" customFormat="1" x14ac:dyDescent="0.2">
      <c r="A184" s="112" t="s">
        <v>85</v>
      </c>
      <c r="B184" s="113" t="s">
        <v>469</v>
      </c>
      <c r="C184" s="113" t="s">
        <v>470</v>
      </c>
      <c r="D184" s="113" t="s">
        <v>549</v>
      </c>
      <c r="E184" s="113" t="s">
        <v>86</v>
      </c>
      <c r="F184" s="114">
        <v>1000</v>
      </c>
      <c r="G184" s="147">
        <f t="shared" si="63"/>
        <v>0</v>
      </c>
      <c r="H184" s="114">
        <v>1000</v>
      </c>
      <c r="I184" s="212">
        <v>0</v>
      </c>
      <c r="J184" s="287">
        <f t="shared" si="69"/>
        <v>0</v>
      </c>
    </row>
    <row r="185" spans="1:10" s="175" customFormat="1" x14ac:dyDescent="0.2">
      <c r="A185" s="136" t="s">
        <v>471</v>
      </c>
      <c r="B185" s="132" t="s">
        <v>469</v>
      </c>
      <c r="C185" s="132" t="s">
        <v>470</v>
      </c>
      <c r="D185" s="132" t="s">
        <v>210</v>
      </c>
      <c r="E185" s="132"/>
      <c r="F185" s="137">
        <f>F186</f>
        <v>4000</v>
      </c>
      <c r="G185" s="147">
        <f t="shared" si="63"/>
        <v>0</v>
      </c>
      <c r="H185" s="137">
        <f>H186</f>
        <v>4000</v>
      </c>
      <c r="I185" s="137">
        <f t="shared" ref="I185" si="80">I186</f>
        <v>3766.3434600000001</v>
      </c>
      <c r="J185" s="137">
        <f t="shared" si="69"/>
        <v>94.158586499999998</v>
      </c>
    </row>
    <row r="186" spans="1:10" s="175" customFormat="1" x14ac:dyDescent="0.2">
      <c r="A186" s="103" t="s">
        <v>42</v>
      </c>
      <c r="B186" s="104" t="s">
        <v>469</v>
      </c>
      <c r="C186" s="104" t="s">
        <v>470</v>
      </c>
      <c r="D186" s="104" t="s">
        <v>550</v>
      </c>
      <c r="E186" s="104"/>
      <c r="F186" s="105">
        <f>F187+F189+F191</f>
        <v>4000</v>
      </c>
      <c r="G186" s="147">
        <f t="shared" si="63"/>
        <v>0</v>
      </c>
      <c r="H186" s="105">
        <f>H187+H189+H191</f>
        <v>4000</v>
      </c>
      <c r="I186" s="105">
        <f t="shared" ref="I186" si="81">I187+I189+I191</f>
        <v>3766.3434600000001</v>
      </c>
      <c r="J186" s="105">
        <f t="shared" si="69"/>
        <v>94.158586499999998</v>
      </c>
    </row>
    <row r="187" spans="1:10" s="175" customFormat="1" ht="24" x14ac:dyDescent="0.2">
      <c r="A187" s="112" t="s">
        <v>79</v>
      </c>
      <c r="B187" s="113" t="s">
        <v>469</v>
      </c>
      <c r="C187" s="113" t="s">
        <v>470</v>
      </c>
      <c r="D187" s="113" t="s">
        <v>550</v>
      </c>
      <c r="E187" s="113" t="s">
        <v>80</v>
      </c>
      <c r="F187" s="114">
        <f>F188</f>
        <v>3514</v>
      </c>
      <c r="G187" s="147">
        <f t="shared" si="63"/>
        <v>50</v>
      </c>
      <c r="H187" s="114">
        <f>H188</f>
        <v>3564</v>
      </c>
      <c r="I187" s="114">
        <f t="shared" ref="I187" si="82">I188</f>
        <v>3514</v>
      </c>
      <c r="J187" s="114">
        <f t="shared" si="69"/>
        <v>98.597081930415271</v>
      </c>
    </row>
    <row r="188" spans="1:10" s="175" customFormat="1" x14ac:dyDescent="0.2">
      <c r="A188" s="112" t="s">
        <v>472</v>
      </c>
      <c r="B188" s="113" t="s">
        <v>469</v>
      </c>
      <c r="C188" s="113" t="s">
        <v>470</v>
      </c>
      <c r="D188" s="113" t="s">
        <v>550</v>
      </c>
      <c r="E188" s="113" t="s">
        <v>473</v>
      </c>
      <c r="F188" s="114">
        <f>2640+20+7+47+800</f>
        <v>3514</v>
      </c>
      <c r="G188" s="147">
        <f t="shared" si="63"/>
        <v>50</v>
      </c>
      <c r="H188" s="114">
        <f>2640+20+7+47+800+50</f>
        <v>3564</v>
      </c>
      <c r="I188" s="114">
        <v>3514</v>
      </c>
      <c r="J188" s="114">
        <f t="shared" si="69"/>
        <v>98.597081930415271</v>
      </c>
    </row>
    <row r="189" spans="1:10" s="175" customFormat="1" x14ac:dyDescent="0.2">
      <c r="A189" s="112" t="s">
        <v>294</v>
      </c>
      <c r="B189" s="113" t="s">
        <v>469</v>
      </c>
      <c r="C189" s="113" t="s">
        <v>470</v>
      </c>
      <c r="D189" s="113" t="s">
        <v>550</v>
      </c>
      <c r="E189" s="113" t="s">
        <v>84</v>
      </c>
      <c r="F189" s="114">
        <f>F190</f>
        <v>475</v>
      </c>
      <c r="G189" s="147">
        <f t="shared" si="63"/>
        <v>-50</v>
      </c>
      <c r="H189" s="114">
        <f>H190</f>
        <v>425</v>
      </c>
      <c r="I189" s="114">
        <f t="shared" ref="I189" si="83">I190</f>
        <v>252.34345999999999</v>
      </c>
      <c r="J189" s="114">
        <f t="shared" si="69"/>
        <v>59.374931764705885</v>
      </c>
    </row>
    <row r="190" spans="1:10" s="175" customFormat="1" x14ac:dyDescent="0.2">
      <c r="A190" s="112" t="s">
        <v>85</v>
      </c>
      <c r="B190" s="113" t="s">
        <v>469</v>
      </c>
      <c r="C190" s="113" t="s">
        <v>470</v>
      </c>
      <c r="D190" s="113" t="s">
        <v>550</v>
      </c>
      <c r="E190" s="113" t="s">
        <v>86</v>
      </c>
      <c r="F190" s="114">
        <f>175+185+70+45</f>
        <v>475</v>
      </c>
      <c r="G190" s="147">
        <f t="shared" si="63"/>
        <v>-50</v>
      </c>
      <c r="H190" s="114">
        <f>175+185+70+45-50</f>
        <v>425</v>
      </c>
      <c r="I190" s="114">
        <v>252.34345999999999</v>
      </c>
      <c r="J190" s="114">
        <f t="shared" si="69"/>
        <v>59.374931764705885</v>
      </c>
    </row>
    <row r="191" spans="1:10" s="175" customFormat="1" x14ac:dyDescent="0.2">
      <c r="A191" s="112" t="s">
        <v>87</v>
      </c>
      <c r="B191" s="113" t="s">
        <v>469</v>
      </c>
      <c r="C191" s="113" t="s">
        <v>470</v>
      </c>
      <c r="D191" s="113" t="s">
        <v>550</v>
      </c>
      <c r="E191" s="113" t="s">
        <v>88</v>
      </c>
      <c r="F191" s="114">
        <f>F192</f>
        <v>11</v>
      </c>
      <c r="G191" s="147">
        <f t="shared" si="63"/>
        <v>0</v>
      </c>
      <c r="H191" s="114">
        <f>H192</f>
        <v>11</v>
      </c>
      <c r="I191" s="212">
        <f t="shared" ref="I191" si="84">I192</f>
        <v>0</v>
      </c>
      <c r="J191" s="212">
        <f t="shared" si="69"/>
        <v>0</v>
      </c>
    </row>
    <row r="192" spans="1:10" s="175" customFormat="1" x14ac:dyDescent="0.2">
      <c r="A192" s="112" t="s">
        <v>154</v>
      </c>
      <c r="B192" s="113" t="s">
        <v>469</v>
      </c>
      <c r="C192" s="113" t="s">
        <v>470</v>
      </c>
      <c r="D192" s="113" t="s">
        <v>550</v>
      </c>
      <c r="E192" s="113" t="s">
        <v>89</v>
      </c>
      <c r="F192" s="114">
        <v>11</v>
      </c>
      <c r="G192" s="147">
        <f t="shared" si="63"/>
        <v>0</v>
      </c>
      <c r="H192" s="114">
        <v>11</v>
      </c>
      <c r="I192" s="212">
        <v>0</v>
      </c>
      <c r="J192" s="212">
        <f t="shared" si="69"/>
        <v>0</v>
      </c>
    </row>
    <row r="193" spans="1:10" s="200" customFormat="1" x14ac:dyDescent="0.2">
      <c r="A193" s="103" t="s">
        <v>353</v>
      </c>
      <c r="B193" s="104" t="s">
        <v>78</v>
      </c>
      <c r="C193" s="104" t="s">
        <v>77</v>
      </c>
      <c r="D193" s="104"/>
      <c r="E193" s="104"/>
      <c r="F193" s="105" t="e">
        <f>F198+F207+F227+F274</f>
        <v>#REF!</v>
      </c>
      <c r="G193" s="147" t="e">
        <f t="shared" si="63"/>
        <v>#REF!</v>
      </c>
      <c r="H193" s="105">
        <f>H198+H207+H227+H274+H194</f>
        <v>1060298.6062100001</v>
      </c>
      <c r="I193" s="147">
        <f>I198+I207+I227+I274+I194</f>
        <v>998911.90204999992</v>
      </c>
      <c r="J193" s="105">
        <f t="shared" si="69"/>
        <v>94.210432438516094</v>
      </c>
    </row>
    <row r="194" spans="1:10" s="200" customFormat="1" x14ac:dyDescent="0.2">
      <c r="A194" s="103" t="s">
        <v>724</v>
      </c>
      <c r="B194" s="104" t="s">
        <v>78</v>
      </c>
      <c r="C194" s="104" t="s">
        <v>76</v>
      </c>
      <c r="D194" s="104"/>
      <c r="E194" s="104"/>
      <c r="F194" s="105"/>
      <c r="G194" s="147"/>
      <c r="H194" s="105">
        <f>H195</f>
        <v>836.02099999999996</v>
      </c>
      <c r="I194" s="105">
        <f t="shared" ref="I194:I196" si="85">I195</f>
        <v>836.02099999999996</v>
      </c>
      <c r="J194" s="105">
        <f t="shared" si="69"/>
        <v>100</v>
      </c>
    </row>
    <row r="195" spans="1:10" s="200" customFormat="1" ht="24" x14ac:dyDescent="0.2">
      <c r="A195" s="103" t="s">
        <v>725</v>
      </c>
      <c r="B195" s="104" t="s">
        <v>78</v>
      </c>
      <c r="C195" s="104" t="s">
        <v>76</v>
      </c>
      <c r="D195" s="104" t="s">
        <v>726</v>
      </c>
      <c r="E195" s="104"/>
      <c r="F195" s="105"/>
      <c r="G195" s="147"/>
      <c r="H195" s="105">
        <f>H196</f>
        <v>836.02099999999996</v>
      </c>
      <c r="I195" s="105">
        <f t="shared" si="85"/>
        <v>836.02099999999996</v>
      </c>
      <c r="J195" s="105">
        <f t="shared" si="69"/>
        <v>100</v>
      </c>
    </row>
    <row r="196" spans="1:10" s="200" customFormat="1" ht="24" x14ac:dyDescent="0.2">
      <c r="A196" s="112" t="s">
        <v>79</v>
      </c>
      <c r="B196" s="113" t="s">
        <v>78</v>
      </c>
      <c r="C196" s="113" t="s">
        <v>76</v>
      </c>
      <c r="D196" s="113" t="s">
        <v>726</v>
      </c>
      <c r="E196" s="113" t="s">
        <v>80</v>
      </c>
      <c r="F196" s="105"/>
      <c r="G196" s="147"/>
      <c r="H196" s="114">
        <f>H197</f>
        <v>836.02099999999996</v>
      </c>
      <c r="I196" s="114">
        <f t="shared" si="85"/>
        <v>836.02099999999996</v>
      </c>
      <c r="J196" s="114">
        <f t="shared" si="69"/>
        <v>100</v>
      </c>
    </row>
    <row r="197" spans="1:10" s="200" customFormat="1" x14ac:dyDescent="0.2">
      <c r="A197" s="112" t="s">
        <v>81</v>
      </c>
      <c r="B197" s="113" t="s">
        <v>78</v>
      </c>
      <c r="C197" s="113" t="s">
        <v>76</v>
      </c>
      <c r="D197" s="113" t="s">
        <v>726</v>
      </c>
      <c r="E197" s="113" t="s">
        <v>82</v>
      </c>
      <c r="F197" s="105"/>
      <c r="G197" s="147"/>
      <c r="H197" s="114">
        <v>836.02099999999996</v>
      </c>
      <c r="I197" s="114">
        <v>836.02099999999996</v>
      </c>
      <c r="J197" s="114">
        <f t="shared" si="69"/>
        <v>100</v>
      </c>
    </row>
    <row r="198" spans="1:10" s="200" customFormat="1" x14ac:dyDescent="0.2">
      <c r="A198" s="103" t="s">
        <v>356</v>
      </c>
      <c r="B198" s="104" t="s">
        <v>78</v>
      </c>
      <c r="C198" s="104" t="s">
        <v>476</v>
      </c>
      <c r="D198" s="104"/>
      <c r="E198" s="104"/>
      <c r="F198" s="105">
        <f>F199</f>
        <v>6509</v>
      </c>
      <c r="G198" s="147">
        <f t="shared" si="63"/>
        <v>143.69999999999982</v>
      </c>
      <c r="H198" s="105">
        <f>H199</f>
        <v>6652.7</v>
      </c>
      <c r="I198" s="105">
        <f t="shared" ref="I198:I199" si="86">I199</f>
        <v>6605.6058899999998</v>
      </c>
      <c r="J198" s="105">
        <f t="shared" si="69"/>
        <v>99.292105310625757</v>
      </c>
    </row>
    <row r="199" spans="1:10" s="200" customFormat="1" ht="12.75" customHeight="1" x14ac:dyDescent="0.2">
      <c r="A199" s="116" t="s">
        <v>602</v>
      </c>
      <c r="B199" s="107" t="s">
        <v>78</v>
      </c>
      <c r="C199" s="107" t="s">
        <v>476</v>
      </c>
      <c r="D199" s="142" t="s">
        <v>249</v>
      </c>
      <c r="E199" s="107"/>
      <c r="F199" s="108">
        <f>F200</f>
        <v>6509</v>
      </c>
      <c r="G199" s="147">
        <f t="shared" si="63"/>
        <v>143.69999999999982</v>
      </c>
      <c r="H199" s="108">
        <f>H200</f>
        <v>6652.7</v>
      </c>
      <c r="I199" s="108">
        <f t="shared" si="86"/>
        <v>6605.6058899999998</v>
      </c>
      <c r="J199" s="108">
        <f t="shared" si="69"/>
        <v>99.292105310625757</v>
      </c>
    </row>
    <row r="200" spans="1:10" s="200" customFormat="1" x14ac:dyDescent="0.2">
      <c r="A200" s="103" t="s">
        <v>254</v>
      </c>
      <c r="B200" s="104" t="s">
        <v>78</v>
      </c>
      <c r="C200" s="104" t="s">
        <v>476</v>
      </c>
      <c r="D200" s="104" t="s">
        <v>603</v>
      </c>
      <c r="E200" s="104"/>
      <c r="F200" s="105">
        <f>F201+F203+F205</f>
        <v>6509</v>
      </c>
      <c r="G200" s="147">
        <f t="shared" si="63"/>
        <v>143.69999999999982</v>
      </c>
      <c r="H200" s="105">
        <f>H201+H203+H205</f>
        <v>6652.7</v>
      </c>
      <c r="I200" s="105">
        <f t="shared" ref="I200" si="87">I201+I203+I205</f>
        <v>6605.6058899999998</v>
      </c>
      <c r="J200" s="105">
        <f t="shared" si="69"/>
        <v>99.292105310625757</v>
      </c>
    </row>
    <row r="201" spans="1:10" s="200" customFormat="1" ht="24" x14ac:dyDescent="0.2">
      <c r="A201" s="112" t="s">
        <v>79</v>
      </c>
      <c r="B201" s="113" t="s">
        <v>78</v>
      </c>
      <c r="C201" s="113" t="s">
        <v>476</v>
      </c>
      <c r="D201" s="113" t="s">
        <v>603</v>
      </c>
      <c r="E201" s="113" t="s">
        <v>80</v>
      </c>
      <c r="F201" s="114">
        <f>F202</f>
        <v>5700</v>
      </c>
      <c r="G201" s="147">
        <f t="shared" si="63"/>
        <v>196.26144999999997</v>
      </c>
      <c r="H201" s="114">
        <f>H202</f>
        <v>5896.26145</v>
      </c>
      <c r="I201" s="114">
        <f t="shared" ref="I201" si="88">I202</f>
        <v>5885.5985199999996</v>
      </c>
      <c r="J201" s="114">
        <f t="shared" si="69"/>
        <v>99.819157781749993</v>
      </c>
    </row>
    <row r="202" spans="1:10" s="200" customFormat="1" x14ac:dyDescent="0.2">
      <c r="A202" s="112" t="s">
        <v>472</v>
      </c>
      <c r="B202" s="113" t="s">
        <v>78</v>
      </c>
      <c r="C202" s="113" t="s">
        <v>476</v>
      </c>
      <c r="D202" s="113" t="s">
        <v>603</v>
      </c>
      <c r="E202" s="113" t="s">
        <v>473</v>
      </c>
      <c r="F202" s="114">
        <f>4380+1320</f>
        <v>5700</v>
      </c>
      <c r="G202" s="147">
        <f t="shared" si="63"/>
        <v>196.26144999999997</v>
      </c>
      <c r="H202" s="114">
        <f>4380+1320+0.72545+195.536</f>
        <v>5896.26145</v>
      </c>
      <c r="I202" s="114">
        <v>5885.5985199999996</v>
      </c>
      <c r="J202" s="114">
        <f t="shared" si="69"/>
        <v>99.819157781749993</v>
      </c>
    </row>
    <row r="203" spans="1:10" s="200" customFormat="1" x14ac:dyDescent="0.2">
      <c r="A203" s="112" t="s">
        <v>294</v>
      </c>
      <c r="B203" s="113" t="s">
        <v>78</v>
      </c>
      <c r="C203" s="113" t="s">
        <v>476</v>
      </c>
      <c r="D203" s="113" t="s">
        <v>603</v>
      </c>
      <c r="E203" s="113" t="s">
        <v>84</v>
      </c>
      <c r="F203" s="114">
        <f>F204</f>
        <v>784</v>
      </c>
      <c r="G203" s="147">
        <f t="shared" si="63"/>
        <v>-69.237450000000081</v>
      </c>
      <c r="H203" s="114">
        <f>H204</f>
        <v>714.76254999999992</v>
      </c>
      <c r="I203" s="114">
        <f t="shared" ref="I203" si="89">I204</f>
        <v>682.15337</v>
      </c>
      <c r="J203" s="114">
        <f t="shared" si="69"/>
        <v>95.437760414280248</v>
      </c>
    </row>
    <row r="204" spans="1:10" s="200" customFormat="1" x14ac:dyDescent="0.2">
      <c r="A204" s="112" t="s">
        <v>85</v>
      </c>
      <c r="B204" s="113" t="s">
        <v>78</v>
      </c>
      <c r="C204" s="113" t="s">
        <v>476</v>
      </c>
      <c r="D204" s="113" t="s">
        <v>603</v>
      </c>
      <c r="E204" s="113" t="s">
        <v>86</v>
      </c>
      <c r="F204" s="114">
        <f>24.2+75+53.4+198.4+433</f>
        <v>784</v>
      </c>
      <c r="G204" s="147">
        <f t="shared" si="63"/>
        <v>-69.237450000000081</v>
      </c>
      <c r="H204" s="114">
        <f>24.2+75+53.4+198.4+433-0.72545-16.676+143.7-195.536</f>
        <v>714.76254999999992</v>
      </c>
      <c r="I204" s="114">
        <v>682.15337</v>
      </c>
      <c r="J204" s="114">
        <f t="shared" si="69"/>
        <v>95.437760414280248</v>
      </c>
    </row>
    <row r="205" spans="1:10" s="200" customFormat="1" x14ac:dyDescent="0.2">
      <c r="A205" s="112" t="s">
        <v>87</v>
      </c>
      <c r="B205" s="113" t="s">
        <v>78</v>
      </c>
      <c r="C205" s="113" t="s">
        <v>476</v>
      </c>
      <c r="D205" s="113" t="s">
        <v>603</v>
      </c>
      <c r="E205" s="113" t="s">
        <v>88</v>
      </c>
      <c r="F205" s="114">
        <f>F206</f>
        <v>25</v>
      </c>
      <c r="G205" s="147">
        <f t="shared" si="63"/>
        <v>16.676000000000002</v>
      </c>
      <c r="H205" s="114">
        <f>H206</f>
        <v>41.676000000000002</v>
      </c>
      <c r="I205" s="114">
        <f t="shared" ref="I205" si="90">I206</f>
        <v>37.853999999999999</v>
      </c>
      <c r="J205" s="114">
        <f t="shared" si="69"/>
        <v>90.829254247048652</v>
      </c>
    </row>
    <row r="206" spans="1:10" s="200" customFormat="1" x14ac:dyDescent="0.2">
      <c r="A206" s="112" t="s">
        <v>154</v>
      </c>
      <c r="B206" s="113" t="s">
        <v>78</v>
      </c>
      <c r="C206" s="113" t="s">
        <v>476</v>
      </c>
      <c r="D206" s="113" t="s">
        <v>603</v>
      </c>
      <c r="E206" s="113" t="s">
        <v>89</v>
      </c>
      <c r="F206" s="114">
        <v>25</v>
      </c>
      <c r="G206" s="147">
        <f t="shared" si="63"/>
        <v>16.676000000000002</v>
      </c>
      <c r="H206" s="114">
        <f>25+16.676</f>
        <v>41.676000000000002</v>
      </c>
      <c r="I206" s="114">
        <v>37.853999999999999</v>
      </c>
      <c r="J206" s="114">
        <f t="shared" si="69"/>
        <v>90.829254247048652</v>
      </c>
    </row>
    <row r="207" spans="1:10" s="175" customFormat="1" x14ac:dyDescent="0.2">
      <c r="A207" s="103" t="s">
        <v>357</v>
      </c>
      <c r="B207" s="104" t="s">
        <v>78</v>
      </c>
      <c r="C207" s="104" t="s">
        <v>474</v>
      </c>
      <c r="D207" s="104"/>
      <c r="E207" s="104"/>
      <c r="F207" s="105">
        <f>F208</f>
        <v>68533</v>
      </c>
      <c r="G207" s="147">
        <f t="shared" si="63"/>
        <v>7838.0687500000058</v>
      </c>
      <c r="H207" s="105">
        <f>H208+H222</f>
        <v>76371.068750000006</v>
      </c>
      <c r="I207" s="105">
        <f>I208+I222</f>
        <v>75775.948999999993</v>
      </c>
      <c r="J207" s="105">
        <f t="shared" si="69"/>
        <v>99.220752361148527</v>
      </c>
    </row>
    <row r="208" spans="1:10" s="175" customFormat="1" ht="27" x14ac:dyDescent="0.2">
      <c r="A208" s="116" t="s">
        <v>576</v>
      </c>
      <c r="B208" s="107" t="s">
        <v>78</v>
      </c>
      <c r="C208" s="107" t="s">
        <v>474</v>
      </c>
      <c r="D208" s="107" t="s">
        <v>231</v>
      </c>
      <c r="E208" s="107"/>
      <c r="F208" s="108">
        <f>F209+F218</f>
        <v>68533</v>
      </c>
      <c r="G208" s="147">
        <f t="shared" si="63"/>
        <v>7747.7600000000093</v>
      </c>
      <c r="H208" s="108">
        <f>H209+H218</f>
        <v>76280.760000000009</v>
      </c>
      <c r="I208" s="108">
        <f>I209+I218</f>
        <v>75685.640249999997</v>
      </c>
      <c r="J208" s="108">
        <f t="shared" si="69"/>
        <v>99.219829810295522</v>
      </c>
    </row>
    <row r="209" spans="1:10" s="175" customFormat="1" x14ac:dyDescent="0.2">
      <c r="A209" s="117" t="s">
        <v>99</v>
      </c>
      <c r="B209" s="118" t="s">
        <v>78</v>
      </c>
      <c r="C209" s="118" t="s">
        <v>474</v>
      </c>
      <c r="D209" s="118" t="s">
        <v>232</v>
      </c>
      <c r="E209" s="118"/>
      <c r="F209" s="119">
        <f>F210+F213</f>
        <v>5533</v>
      </c>
      <c r="G209" s="147">
        <f t="shared" si="63"/>
        <v>0</v>
      </c>
      <c r="H209" s="119">
        <f>H210+H213</f>
        <v>5533</v>
      </c>
      <c r="I209" s="119">
        <f t="shared" ref="I209" si="91">I210+I213</f>
        <v>4937.8802500000002</v>
      </c>
      <c r="J209" s="119">
        <f t="shared" si="69"/>
        <v>89.244175853967107</v>
      </c>
    </row>
    <row r="210" spans="1:10" s="175" customFormat="1" x14ac:dyDescent="0.2">
      <c r="A210" s="120" t="s">
        <v>296</v>
      </c>
      <c r="B210" s="104" t="s">
        <v>78</v>
      </c>
      <c r="C210" s="104" t="s">
        <v>474</v>
      </c>
      <c r="D210" s="104" t="s">
        <v>323</v>
      </c>
      <c r="E210" s="104"/>
      <c r="F210" s="105">
        <f>F211</f>
        <v>5270</v>
      </c>
      <c r="G210" s="147">
        <f t="shared" si="63"/>
        <v>0</v>
      </c>
      <c r="H210" s="105">
        <f>H211</f>
        <v>5270</v>
      </c>
      <c r="I210" s="105">
        <f t="shared" ref="I210:I211" si="92">I211</f>
        <v>4772.9246000000003</v>
      </c>
      <c r="J210" s="105">
        <f t="shared" si="69"/>
        <v>90.567829222011383</v>
      </c>
    </row>
    <row r="211" spans="1:10" s="175" customFormat="1" ht="24" x14ac:dyDescent="0.2">
      <c r="A211" s="112" t="s">
        <v>79</v>
      </c>
      <c r="B211" s="113" t="s">
        <v>78</v>
      </c>
      <c r="C211" s="113" t="s">
        <v>474</v>
      </c>
      <c r="D211" s="113" t="s">
        <v>323</v>
      </c>
      <c r="E211" s="113" t="s">
        <v>80</v>
      </c>
      <c r="F211" s="114">
        <f>F212</f>
        <v>5270</v>
      </c>
      <c r="G211" s="147">
        <f t="shared" si="63"/>
        <v>0</v>
      </c>
      <c r="H211" s="114">
        <f>H212</f>
        <v>5270</v>
      </c>
      <c r="I211" s="114">
        <f t="shared" si="92"/>
        <v>4772.9246000000003</v>
      </c>
      <c r="J211" s="114">
        <f t="shared" si="69"/>
        <v>90.567829222011383</v>
      </c>
    </row>
    <row r="212" spans="1:10" s="175" customFormat="1" x14ac:dyDescent="0.2">
      <c r="A212" s="112" t="s">
        <v>81</v>
      </c>
      <c r="B212" s="113" t="s">
        <v>78</v>
      </c>
      <c r="C212" s="113" t="s">
        <v>474</v>
      </c>
      <c r="D212" s="113" t="s">
        <v>323</v>
      </c>
      <c r="E212" s="113" t="s">
        <v>82</v>
      </c>
      <c r="F212" s="114">
        <f>4050+1220</f>
        <v>5270</v>
      </c>
      <c r="G212" s="147">
        <f t="shared" si="63"/>
        <v>0</v>
      </c>
      <c r="H212" s="114">
        <f>4050+1220</f>
        <v>5270</v>
      </c>
      <c r="I212" s="114">
        <v>4772.9246000000003</v>
      </c>
      <c r="J212" s="114">
        <f t="shared" si="69"/>
        <v>90.567829222011383</v>
      </c>
    </row>
    <row r="213" spans="1:10" s="175" customFormat="1" x14ac:dyDescent="0.2">
      <c r="A213" s="103" t="s">
        <v>83</v>
      </c>
      <c r="B213" s="104" t="s">
        <v>78</v>
      </c>
      <c r="C213" s="104" t="s">
        <v>474</v>
      </c>
      <c r="D213" s="104" t="s">
        <v>324</v>
      </c>
      <c r="E213" s="104"/>
      <c r="F213" s="105">
        <f>F214+F216</f>
        <v>263</v>
      </c>
      <c r="G213" s="147">
        <f t="shared" si="63"/>
        <v>0</v>
      </c>
      <c r="H213" s="105">
        <f>H214+H216</f>
        <v>263</v>
      </c>
      <c r="I213" s="105">
        <f t="shared" ref="I213" si="93">I214+I216</f>
        <v>164.95565000000002</v>
      </c>
      <c r="J213" s="105">
        <f t="shared" si="69"/>
        <v>62.720779467680622</v>
      </c>
    </row>
    <row r="214" spans="1:10" s="175" customFormat="1" x14ac:dyDescent="0.2">
      <c r="A214" s="112" t="s">
        <v>582</v>
      </c>
      <c r="B214" s="113" t="s">
        <v>78</v>
      </c>
      <c r="C214" s="113" t="s">
        <v>474</v>
      </c>
      <c r="D214" s="113" t="s">
        <v>324</v>
      </c>
      <c r="E214" s="113" t="s">
        <v>84</v>
      </c>
      <c r="F214" s="114">
        <f>F215</f>
        <v>260</v>
      </c>
      <c r="G214" s="147">
        <f t="shared" si="63"/>
        <v>-3</v>
      </c>
      <c r="H214" s="114">
        <f>H215</f>
        <v>257</v>
      </c>
      <c r="I214" s="114">
        <f t="shared" ref="I214" si="94">I215</f>
        <v>162.25058000000001</v>
      </c>
      <c r="J214" s="114">
        <f t="shared" si="69"/>
        <v>63.132521400778217</v>
      </c>
    </row>
    <row r="215" spans="1:10" s="175" customFormat="1" x14ac:dyDescent="0.2">
      <c r="A215" s="112" t="s">
        <v>85</v>
      </c>
      <c r="B215" s="113" t="s">
        <v>78</v>
      </c>
      <c r="C215" s="113" t="s">
        <v>474</v>
      </c>
      <c r="D215" s="113" t="s">
        <v>324</v>
      </c>
      <c r="E215" s="113" t="s">
        <v>86</v>
      </c>
      <c r="F215" s="114">
        <v>260</v>
      </c>
      <c r="G215" s="147">
        <f t="shared" si="63"/>
        <v>-3</v>
      </c>
      <c r="H215" s="114">
        <f>260-3</f>
        <v>257</v>
      </c>
      <c r="I215" s="114">
        <v>162.25058000000001</v>
      </c>
      <c r="J215" s="114">
        <f t="shared" si="69"/>
        <v>63.132521400778217</v>
      </c>
    </row>
    <row r="216" spans="1:10" s="175" customFormat="1" x14ac:dyDescent="0.2">
      <c r="A216" s="112" t="s">
        <v>87</v>
      </c>
      <c r="B216" s="113" t="s">
        <v>78</v>
      </c>
      <c r="C216" s="113" t="s">
        <v>474</v>
      </c>
      <c r="D216" s="113" t="s">
        <v>324</v>
      </c>
      <c r="E216" s="113" t="s">
        <v>88</v>
      </c>
      <c r="F216" s="114">
        <f>F217</f>
        <v>3</v>
      </c>
      <c r="G216" s="147">
        <f t="shared" si="63"/>
        <v>3</v>
      </c>
      <c r="H216" s="128">
        <f>H217</f>
        <v>6</v>
      </c>
      <c r="I216" s="128">
        <f t="shared" ref="I216" si="95">I217</f>
        <v>2.7050700000000001</v>
      </c>
      <c r="J216" s="114">
        <f t="shared" si="69"/>
        <v>45.084499999999998</v>
      </c>
    </row>
    <row r="217" spans="1:10" s="175" customFormat="1" x14ac:dyDescent="0.2">
      <c r="A217" s="112" t="s">
        <v>154</v>
      </c>
      <c r="B217" s="113" t="s">
        <v>78</v>
      </c>
      <c r="C217" s="113" t="s">
        <v>474</v>
      </c>
      <c r="D217" s="113" t="s">
        <v>324</v>
      </c>
      <c r="E217" s="113" t="s">
        <v>89</v>
      </c>
      <c r="F217" s="114">
        <v>3</v>
      </c>
      <c r="G217" s="147">
        <f t="shared" ref="G217:G289" si="96">H217-F217</f>
        <v>3</v>
      </c>
      <c r="H217" s="128">
        <v>6</v>
      </c>
      <c r="I217" s="128">
        <v>2.7050700000000001</v>
      </c>
      <c r="J217" s="114">
        <f t="shared" si="69"/>
        <v>45.084499999999998</v>
      </c>
    </row>
    <row r="218" spans="1:10" s="175" customFormat="1" x14ac:dyDescent="0.2">
      <c r="A218" s="121" t="s">
        <v>325</v>
      </c>
      <c r="B218" s="118" t="s">
        <v>78</v>
      </c>
      <c r="C218" s="118" t="s">
        <v>474</v>
      </c>
      <c r="D218" s="122" t="s">
        <v>326</v>
      </c>
      <c r="E218" s="118"/>
      <c r="F218" s="119">
        <f>F219</f>
        <v>63000</v>
      </c>
      <c r="G218" s="147">
        <f t="shared" si="96"/>
        <v>7747.7600000000093</v>
      </c>
      <c r="H218" s="119">
        <f>H219</f>
        <v>70747.760000000009</v>
      </c>
      <c r="I218" s="119">
        <f t="shared" ref="I218:I219" si="97">I219</f>
        <v>70747.759999999995</v>
      </c>
      <c r="J218" s="119">
        <f t="shared" si="69"/>
        <v>99.999999999999972</v>
      </c>
    </row>
    <row r="219" spans="1:10" s="175" customFormat="1" ht="24" x14ac:dyDescent="0.2">
      <c r="A219" s="121" t="s">
        <v>577</v>
      </c>
      <c r="B219" s="118" t="s">
        <v>78</v>
      </c>
      <c r="C219" s="118" t="s">
        <v>474</v>
      </c>
      <c r="D219" s="122" t="s">
        <v>578</v>
      </c>
      <c r="E219" s="118"/>
      <c r="F219" s="119">
        <f>F220</f>
        <v>63000</v>
      </c>
      <c r="G219" s="147">
        <f t="shared" si="96"/>
        <v>7747.7600000000093</v>
      </c>
      <c r="H219" s="119">
        <f>H220</f>
        <v>70747.760000000009</v>
      </c>
      <c r="I219" s="119">
        <f t="shared" si="97"/>
        <v>70747.759999999995</v>
      </c>
      <c r="J219" s="119">
        <f t="shared" si="69"/>
        <v>99.999999999999972</v>
      </c>
    </row>
    <row r="220" spans="1:10" s="175" customFormat="1" x14ac:dyDescent="0.2">
      <c r="A220" s="112" t="s">
        <v>87</v>
      </c>
      <c r="B220" s="113" t="s">
        <v>78</v>
      </c>
      <c r="C220" s="113" t="s">
        <v>474</v>
      </c>
      <c r="D220" s="123" t="s">
        <v>578</v>
      </c>
      <c r="E220" s="113" t="s">
        <v>88</v>
      </c>
      <c r="F220" s="114">
        <f>F221</f>
        <v>63000</v>
      </c>
      <c r="G220" s="147">
        <f t="shared" si="96"/>
        <v>7747.7600000000093</v>
      </c>
      <c r="H220" s="114">
        <f>H221</f>
        <v>70747.760000000009</v>
      </c>
      <c r="I220" s="114">
        <f>I221</f>
        <v>70747.759999999995</v>
      </c>
      <c r="J220" s="114">
        <f t="shared" ref="J220:J288" si="98">I220/H220*100</f>
        <v>99.999999999999972</v>
      </c>
    </row>
    <row r="221" spans="1:10" s="175" customFormat="1" ht="24" x14ac:dyDescent="0.2">
      <c r="A221" s="112" t="s">
        <v>579</v>
      </c>
      <c r="B221" s="113" t="s">
        <v>78</v>
      </c>
      <c r="C221" s="113" t="s">
        <v>474</v>
      </c>
      <c r="D221" s="123" t="s">
        <v>578</v>
      </c>
      <c r="E221" s="113" t="s">
        <v>414</v>
      </c>
      <c r="F221" s="114">
        <v>63000</v>
      </c>
      <c r="G221" s="147">
        <f t="shared" si="96"/>
        <v>7747.7600000000093</v>
      </c>
      <c r="H221" s="114">
        <f>63000-2252.24+10000</f>
        <v>70747.760000000009</v>
      </c>
      <c r="I221" s="114">
        <v>70747.759999999995</v>
      </c>
      <c r="J221" s="114">
        <f t="shared" si="98"/>
        <v>99.999999999999972</v>
      </c>
    </row>
    <row r="222" spans="1:10" s="175" customFormat="1" x14ac:dyDescent="0.2">
      <c r="A222" s="117" t="s">
        <v>439</v>
      </c>
      <c r="B222" s="118" t="s">
        <v>78</v>
      </c>
      <c r="C222" s="118" t="s">
        <v>474</v>
      </c>
      <c r="D222" s="118" t="s">
        <v>209</v>
      </c>
      <c r="E222" s="118"/>
      <c r="F222" s="119" t="e">
        <f>F223</f>
        <v>#REF!</v>
      </c>
      <c r="G222" s="147" t="e">
        <f t="shared" si="96"/>
        <v>#REF!</v>
      </c>
      <c r="H222" s="119">
        <f>H223</f>
        <v>90.308750000000003</v>
      </c>
      <c r="I222" s="119">
        <f t="shared" ref="I222" si="99">I223</f>
        <v>90.308750000000003</v>
      </c>
      <c r="J222" s="119">
        <f t="shared" si="98"/>
        <v>100</v>
      </c>
    </row>
    <row r="223" spans="1:10" s="175" customFormat="1" x14ac:dyDescent="0.2">
      <c r="A223" s="103" t="s">
        <v>297</v>
      </c>
      <c r="B223" s="104" t="s">
        <v>78</v>
      </c>
      <c r="C223" s="104" t="s">
        <v>474</v>
      </c>
      <c r="D223" s="104" t="s">
        <v>210</v>
      </c>
      <c r="E223" s="104"/>
      <c r="F223" s="105" t="e">
        <f>F227+F224</f>
        <v>#REF!</v>
      </c>
      <c r="G223" s="147" t="e">
        <f t="shared" si="96"/>
        <v>#REF!</v>
      </c>
      <c r="H223" s="105">
        <f>H224</f>
        <v>90.308750000000003</v>
      </c>
      <c r="I223" s="105">
        <f>I224</f>
        <v>90.308750000000003</v>
      </c>
      <c r="J223" s="105">
        <f t="shared" si="98"/>
        <v>100</v>
      </c>
    </row>
    <row r="224" spans="1:10" s="175" customFormat="1" ht="24" x14ac:dyDescent="0.2">
      <c r="A224" s="117" t="s">
        <v>768</v>
      </c>
      <c r="B224" s="118" t="s">
        <v>78</v>
      </c>
      <c r="C224" s="118" t="s">
        <v>474</v>
      </c>
      <c r="D224" s="118" t="s">
        <v>769</v>
      </c>
      <c r="E224" s="118"/>
      <c r="F224" s="119">
        <f t="shared" ref="F224:I225" si="100">F225</f>
        <v>195.3</v>
      </c>
      <c r="G224" s="119">
        <f t="shared" si="100"/>
        <v>195.3</v>
      </c>
      <c r="H224" s="119">
        <f t="shared" si="100"/>
        <v>90.308750000000003</v>
      </c>
      <c r="I224" s="119">
        <f t="shared" si="100"/>
        <v>90.308750000000003</v>
      </c>
      <c r="J224" s="119">
        <f t="shared" si="98"/>
        <v>100</v>
      </c>
    </row>
    <row r="225" spans="1:10" s="175" customFormat="1" ht="24" x14ac:dyDescent="0.2">
      <c r="A225" s="112" t="s">
        <v>79</v>
      </c>
      <c r="B225" s="113" t="s">
        <v>78</v>
      </c>
      <c r="C225" s="113" t="s">
        <v>474</v>
      </c>
      <c r="D225" s="113" t="s">
        <v>769</v>
      </c>
      <c r="E225" s="113" t="s">
        <v>80</v>
      </c>
      <c r="F225" s="114">
        <f t="shared" si="100"/>
        <v>195.3</v>
      </c>
      <c r="G225" s="114">
        <f t="shared" si="100"/>
        <v>195.3</v>
      </c>
      <c r="H225" s="114">
        <f t="shared" si="100"/>
        <v>90.308750000000003</v>
      </c>
      <c r="I225" s="114">
        <f t="shared" si="100"/>
        <v>90.308750000000003</v>
      </c>
      <c r="J225" s="114">
        <f t="shared" si="98"/>
        <v>100</v>
      </c>
    </row>
    <row r="226" spans="1:10" s="175" customFormat="1" x14ac:dyDescent="0.2">
      <c r="A226" s="112" t="s">
        <v>81</v>
      </c>
      <c r="B226" s="113" t="s">
        <v>78</v>
      </c>
      <c r="C226" s="113" t="s">
        <v>474</v>
      </c>
      <c r="D226" s="113" t="s">
        <v>769</v>
      </c>
      <c r="E226" s="113" t="s">
        <v>82</v>
      </c>
      <c r="F226" s="114">
        <v>195.3</v>
      </c>
      <c r="G226" s="114">
        <v>195.3</v>
      </c>
      <c r="H226" s="114">
        <v>90.308750000000003</v>
      </c>
      <c r="I226" s="114">
        <v>90.308750000000003</v>
      </c>
      <c r="J226" s="114">
        <f t="shared" si="98"/>
        <v>100</v>
      </c>
    </row>
    <row r="227" spans="1:10" s="175" customFormat="1" x14ac:dyDescent="0.2">
      <c r="A227" s="103" t="s">
        <v>380</v>
      </c>
      <c r="B227" s="104" t="s">
        <v>78</v>
      </c>
      <c r="C227" s="104" t="s">
        <v>470</v>
      </c>
      <c r="D227" s="123"/>
      <c r="E227" s="113"/>
      <c r="F227" s="105" t="e">
        <f>F228</f>
        <v>#REF!</v>
      </c>
      <c r="G227" s="147" t="e">
        <f t="shared" si="96"/>
        <v>#REF!</v>
      </c>
      <c r="H227" s="105">
        <f>H228</f>
        <v>962488.81646</v>
      </c>
      <c r="I227" s="105">
        <f t="shared" ref="I227" si="101">I228</f>
        <v>905247.25015999994</v>
      </c>
      <c r="J227" s="105">
        <f t="shared" si="98"/>
        <v>94.052755177921696</v>
      </c>
    </row>
    <row r="228" spans="1:10" s="175" customFormat="1" ht="27" x14ac:dyDescent="0.2">
      <c r="A228" s="116" t="s">
        <v>576</v>
      </c>
      <c r="B228" s="107" t="s">
        <v>78</v>
      </c>
      <c r="C228" s="107" t="s">
        <v>470</v>
      </c>
      <c r="D228" s="107" t="s">
        <v>231</v>
      </c>
      <c r="E228" s="107"/>
      <c r="F228" s="108" t="e">
        <f>F233+F262</f>
        <v>#REF!</v>
      </c>
      <c r="G228" s="147" t="e">
        <f t="shared" si="96"/>
        <v>#REF!</v>
      </c>
      <c r="H228" s="108">
        <f>H233+H262+H229</f>
        <v>962488.81646</v>
      </c>
      <c r="I228" s="108">
        <f t="shared" ref="I228" si="102">I233+I262+I229</f>
        <v>905247.25015999994</v>
      </c>
      <c r="J228" s="105">
        <f t="shared" si="98"/>
        <v>94.052755177921696</v>
      </c>
    </row>
    <row r="229" spans="1:10" s="175" customFormat="1" ht="13.5" x14ac:dyDescent="0.2">
      <c r="A229" s="117" t="s">
        <v>99</v>
      </c>
      <c r="B229" s="118" t="s">
        <v>78</v>
      </c>
      <c r="C229" s="118" t="s">
        <v>470</v>
      </c>
      <c r="D229" s="118" t="s">
        <v>232</v>
      </c>
      <c r="E229" s="107"/>
      <c r="F229" s="108"/>
      <c r="G229" s="209"/>
      <c r="H229" s="119">
        <f>H230</f>
        <v>1365.35</v>
      </c>
      <c r="I229" s="119">
        <f t="shared" ref="I229:I231" si="103">I230</f>
        <v>1365.35</v>
      </c>
      <c r="J229" s="119">
        <f t="shared" si="98"/>
        <v>100</v>
      </c>
    </row>
    <row r="230" spans="1:10" s="175" customFormat="1" ht="13.5" x14ac:dyDescent="0.2">
      <c r="A230" s="103" t="s">
        <v>223</v>
      </c>
      <c r="B230" s="118" t="s">
        <v>78</v>
      </c>
      <c r="C230" s="118" t="s">
        <v>470</v>
      </c>
      <c r="D230" s="104" t="s">
        <v>743</v>
      </c>
      <c r="E230" s="118"/>
      <c r="F230" s="108"/>
      <c r="G230" s="147"/>
      <c r="H230" s="105">
        <f>H231</f>
        <v>1365.35</v>
      </c>
      <c r="I230" s="105">
        <f t="shared" si="103"/>
        <v>1365.35</v>
      </c>
      <c r="J230" s="105">
        <f t="shared" si="98"/>
        <v>100</v>
      </c>
    </row>
    <row r="231" spans="1:10" s="175" customFormat="1" ht="13.5" x14ac:dyDescent="0.2">
      <c r="A231" s="112" t="s">
        <v>294</v>
      </c>
      <c r="B231" s="113" t="s">
        <v>78</v>
      </c>
      <c r="C231" s="113" t="s">
        <v>470</v>
      </c>
      <c r="D231" s="113" t="s">
        <v>743</v>
      </c>
      <c r="E231" s="113" t="s">
        <v>84</v>
      </c>
      <c r="F231" s="108"/>
      <c r="G231" s="147"/>
      <c r="H231" s="114">
        <f>H232</f>
        <v>1365.35</v>
      </c>
      <c r="I231" s="114">
        <f t="shared" si="103"/>
        <v>1365.35</v>
      </c>
      <c r="J231" s="114">
        <f t="shared" si="98"/>
        <v>100</v>
      </c>
    </row>
    <row r="232" spans="1:10" s="175" customFormat="1" ht="13.5" x14ac:dyDescent="0.2">
      <c r="A232" s="112" t="s">
        <v>85</v>
      </c>
      <c r="B232" s="113" t="s">
        <v>78</v>
      </c>
      <c r="C232" s="113" t="s">
        <v>470</v>
      </c>
      <c r="D232" s="113" t="s">
        <v>743</v>
      </c>
      <c r="E232" s="113" t="s">
        <v>86</v>
      </c>
      <c r="F232" s="108"/>
      <c r="G232" s="147"/>
      <c r="H232" s="114">
        <v>1365.35</v>
      </c>
      <c r="I232" s="114">
        <v>1365.35</v>
      </c>
      <c r="J232" s="114">
        <f t="shared" si="98"/>
        <v>100</v>
      </c>
    </row>
    <row r="233" spans="1:10" s="175" customFormat="1" ht="24" x14ac:dyDescent="0.2">
      <c r="A233" s="121" t="s">
        <v>580</v>
      </c>
      <c r="B233" s="118" t="s">
        <v>78</v>
      </c>
      <c r="C233" s="118" t="s">
        <v>470</v>
      </c>
      <c r="D233" s="122" t="s">
        <v>327</v>
      </c>
      <c r="E233" s="118"/>
      <c r="F233" s="119" t="e">
        <f>F234+#REF!+#REF!+F239+F242+F247+F252+F257</f>
        <v>#REF!</v>
      </c>
      <c r="G233" s="147" t="e">
        <f t="shared" si="96"/>
        <v>#REF!</v>
      </c>
      <c r="H233" s="119">
        <f>H234+H239+H242+H247+H252+H257</f>
        <v>921014.16645999998</v>
      </c>
      <c r="I233" s="119">
        <f t="shared" ref="I233" si="104">I234+I239+I242+I247+I252+I257</f>
        <v>864212.4121999999</v>
      </c>
      <c r="J233" s="119">
        <f t="shared" si="98"/>
        <v>93.832694834833802</v>
      </c>
    </row>
    <row r="234" spans="1:10" s="175" customFormat="1" ht="24" x14ac:dyDescent="0.2">
      <c r="A234" s="103" t="s">
        <v>234</v>
      </c>
      <c r="B234" s="104" t="s">
        <v>78</v>
      </c>
      <c r="C234" s="104" t="s">
        <v>470</v>
      </c>
      <c r="D234" s="104" t="s">
        <v>581</v>
      </c>
      <c r="E234" s="104"/>
      <c r="F234" s="105">
        <f>F235</f>
        <v>19534</v>
      </c>
      <c r="G234" s="147">
        <f t="shared" si="96"/>
        <v>6404.064190000001</v>
      </c>
      <c r="H234" s="105">
        <f>H235+H237</f>
        <v>25938.064190000001</v>
      </c>
      <c r="I234" s="105">
        <f t="shared" ref="I234" si="105">I235+I237</f>
        <v>22664.420110000003</v>
      </c>
      <c r="J234" s="105">
        <f t="shared" si="98"/>
        <v>87.378996150136373</v>
      </c>
    </row>
    <row r="235" spans="1:10" s="175" customFormat="1" x14ac:dyDescent="0.2">
      <c r="A235" s="112" t="s">
        <v>582</v>
      </c>
      <c r="B235" s="113" t="s">
        <v>78</v>
      </c>
      <c r="C235" s="113" t="s">
        <v>470</v>
      </c>
      <c r="D235" s="113" t="s">
        <v>581</v>
      </c>
      <c r="E235" s="113" t="s">
        <v>84</v>
      </c>
      <c r="F235" s="114">
        <f>F236</f>
        <v>19534</v>
      </c>
      <c r="G235" s="147">
        <f t="shared" si="96"/>
        <v>5767.3981899999999</v>
      </c>
      <c r="H235" s="114">
        <f>H236</f>
        <v>25301.39819</v>
      </c>
      <c r="I235" s="114">
        <f t="shared" ref="I235" si="106">I236</f>
        <v>22027.754110000002</v>
      </c>
      <c r="J235" s="114">
        <f t="shared" si="98"/>
        <v>87.061410379708363</v>
      </c>
    </row>
    <row r="236" spans="1:10" s="175" customFormat="1" x14ac:dyDescent="0.2">
      <c r="A236" s="112" t="s">
        <v>85</v>
      </c>
      <c r="B236" s="113" t="s">
        <v>78</v>
      </c>
      <c r="C236" s="113" t="s">
        <v>470</v>
      </c>
      <c r="D236" s="113" t="s">
        <v>581</v>
      </c>
      <c r="E236" s="113" t="s">
        <v>86</v>
      </c>
      <c r="F236" s="114">
        <v>19534</v>
      </c>
      <c r="G236" s="147">
        <f t="shared" si="96"/>
        <v>5767.3981899999999</v>
      </c>
      <c r="H236" s="114">
        <f>19534+8181.06419-636.666-1777</f>
        <v>25301.39819</v>
      </c>
      <c r="I236" s="114">
        <v>22027.754110000002</v>
      </c>
      <c r="J236" s="114">
        <f t="shared" si="98"/>
        <v>87.061410379708363</v>
      </c>
    </row>
    <row r="237" spans="1:10" s="175" customFormat="1" x14ac:dyDescent="0.2">
      <c r="A237" s="112" t="s">
        <v>417</v>
      </c>
      <c r="B237" s="113" t="s">
        <v>78</v>
      </c>
      <c r="C237" s="113" t="s">
        <v>470</v>
      </c>
      <c r="D237" s="113" t="s">
        <v>581</v>
      </c>
      <c r="E237" s="113" t="s">
        <v>418</v>
      </c>
      <c r="F237" s="114"/>
      <c r="G237" s="147"/>
      <c r="H237" s="114">
        <f>H238</f>
        <v>636.66600000000005</v>
      </c>
      <c r="I237" s="114">
        <f t="shared" ref="I237" si="107">I238</f>
        <v>636.66600000000005</v>
      </c>
      <c r="J237" s="114">
        <f t="shared" si="98"/>
        <v>100</v>
      </c>
    </row>
    <row r="238" spans="1:10" s="175" customFormat="1" x14ac:dyDescent="0.2">
      <c r="A238" s="112" t="s">
        <v>419</v>
      </c>
      <c r="B238" s="113" t="s">
        <v>78</v>
      </c>
      <c r="C238" s="113" t="s">
        <v>470</v>
      </c>
      <c r="D238" s="113" t="s">
        <v>581</v>
      </c>
      <c r="E238" s="113" t="s">
        <v>420</v>
      </c>
      <c r="F238" s="114"/>
      <c r="G238" s="147"/>
      <c r="H238" s="114">
        <v>636.66600000000005</v>
      </c>
      <c r="I238" s="114">
        <v>636.66600000000005</v>
      </c>
      <c r="J238" s="114">
        <f t="shared" si="98"/>
        <v>100</v>
      </c>
    </row>
    <row r="239" spans="1:10" s="175" customFormat="1" x14ac:dyDescent="0.2">
      <c r="A239" s="103" t="s">
        <v>223</v>
      </c>
      <c r="B239" s="104" t="s">
        <v>78</v>
      </c>
      <c r="C239" s="104" t="s">
        <v>470</v>
      </c>
      <c r="D239" s="104" t="s">
        <v>583</v>
      </c>
      <c r="E239" s="104"/>
      <c r="F239" s="105">
        <f>F240</f>
        <v>37562</v>
      </c>
      <c r="G239" s="147">
        <f t="shared" si="96"/>
        <v>-3973.7187300000005</v>
      </c>
      <c r="H239" s="105">
        <f>H240</f>
        <v>33588.281269999999</v>
      </c>
      <c r="I239" s="105">
        <f t="shared" ref="I239:I240" si="108">I240</f>
        <v>32038.221430000001</v>
      </c>
      <c r="J239" s="105">
        <f t="shared" si="98"/>
        <v>95.385117126000537</v>
      </c>
    </row>
    <row r="240" spans="1:10" s="175" customFormat="1" x14ac:dyDescent="0.2">
      <c r="A240" s="112" t="s">
        <v>582</v>
      </c>
      <c r="B240" s="113" t="s">
        <v>78</v>
      </c>
      <c r="C240" s="113" t="s">
        <v>470</v>
      </c>
      <c r="D240" s="113" t="s">
        <v>583</v>
      </c>
      <c r="E240" s="113" t="s">
        <v>84</v>
      </c>
      <c r="F240" s="114">
        <f>F241</f>
        <v>37562</v>
      </c>
      <c r="G240" s="147">
        <f t="shared" si="96"/>
        <v>-3973.7187300000005</v>
      </c>
      <c r="H240" s="114">
        <f>H241</f>
        <v>33588.281269999999</v>
      </c>
      <c r="I240" s="114">
        <f t="shared" si="108"/>
        <v>32038.221430000001</v>
      </c>
      <c r="J240" s="114">
        <f t="shared" si="98"/>
        <v>95.385117126000537</v>
      </c>
    </row>
    <row r="241" spans="1:10" s="175" customFormat="1" x14ac:dyDescent="0.2">
      <c r="A241" s="112" t="s">
        <v>85</v>
      </c>
      <c r="B241" s="113" t="s">
        <v>78</v>
      </c>
      <c r="C241" s="113" t="s">
        <v>470</v>
      </c>
      <c r="D241" s="113" t="s">
        <v>583</v>
      </c>
      <c r="E241" s="113" t="s">
        <v>86</v>
      </c>
      <c r="F241" s="114">
        <f>4450.7+33111.3</f>
        <v>37562</v>
      </c>
      <c r="G241" s="147">
        <f t="shared" si="96"/>
        <v>-3973.7187300000005</v>
      </c>
      <c r="H241" s="114">
        <f>4450.7+33111.3-2232.72-1365.35-75-300.64873</f>
        <v>33588.281269999999</v>
      </c>
      <c r="I241" s="114">
        <v>32038.221430000001</v>
      </c>
      <c r="J241" s="114">
        <f t="shared" si="98"/>
        <v>95.385117126000537</v>
      </c>
    </row>
    <row r="242" spans="1:10" s="175" customFormat="1" x14ac:dyDescent="0.2">
      <c r="A242" s="136" t="s">
        <v>584</v>
      </c>
      <c r="B242" s="118" t="s">
        <v>78</v>
      </c>
      <c r="C242" s="118" t="s">
        <v>470</v>
      </c>
      <c r="D242" s="118" t="s">
        <v>43</v>
      </c>
      <c r="E242" s="118"/>
      <c r="F242" s="129">
        <f>F243</f>
        <v>151753.79999999999</v>
      </c>
      <c r="G242" s="147">
        <f t="shared" si="96"/>
        <v>161721.799</v>
      </c>
      <c r="H242" s="129">
        <f>H243+H245</f>
        <v>313475.59899999999</v>
      </c>
      <c r="I242" s="129">
        <f t="shared" ref="I242" si="109">I243+I245</f>
        <v>278851.46364999999</v>
      </c>
      <c r="J242" s="119">
        <f t="shared" si="98"/>
        <v>88.954759011402345</v>
      </c>
    </row>
    <row r="243" spans="1:10" s="175" customFormat="1" x14ac:dyDescent="0.2">
      <c r="A243" s="112" t="s">
        <v>582</v>
      </c>
      <c r="B243" s="113" t="s">
        <v>78</v>
      </c>
      <c r="C243" s="113" t="s">
        <v>470</v>
      </c>
      <c r="D243" s="113" t="s">
        <v>43</v>
      </c>
      <c r="E243" s="113" t="s">
        <v>84</v>
      </c>
      <c r="F243" s="128">
        <f>F244</f>
        <v>151753.79999999999</v>
      </c>
      <c r="G243" s="147">
        <f t="shared" si="96"/>
        <v>159346.799</v>
      </c>
      <c r="H243" s="128">
        <f>H244</f>
        <v>311100.59899999999</v>
      </c>
      <c r="I243" s="128">
        <f t="shared" ref="I243" si="110">I244</f>
        <v>276476.46364999999</v>
      </c>
      <c r="J243" s="114">
        <f t="shared" si="98"/>
        <v>88.870437581510402</v>
      </c>
    </row>
    <row r="244" spans="1:10" s="175" customFormat="1" x14ac:dyDescent="0.2">
      <c r="A244" s="112" t="s">
        <v>85</v>
      </c>
      <c r="B244" s="113" t="s">
        <v>78</v>
      </c>
      <c r="C244" s="113" t="s">
        <v>470</v>
      </c>
      <c r="D244" s="113" t="s">
        <v>43</v>
      </c>
      <c r="E244" s="113" t="s">
        <v>86</v>
      </c>
      <c r="F244" s="128">
        <v>151753.79999999999</v>
      </c>
      <c r="G244" s="147">
        <f t="shared" si="96"/>
        <v>159346.799</v>
      </c>
      <c r="H244" s="128">
        <f>151753.82-24750-2375+150000+11721.779+10800+13950</f>
        <v>311100.59899999999</v>
      </c>
      <c r="I244" s="128">
        <v>276476.46364999999</v>
      </c>
      <c r="J244" s="114">
        <f t="shared" si="98"/>
        <v>88.870437581510402</v>
      </c>
    </row>
    <row r="245" spans="1:10" s="175" customFormat="1" x14ac:dyDescent="0.2">
      <c r="A245" s="112" t="s">
        <v>417</v>
      </c>
      <c r="B245" s="113" t="s">
        <v>78</v>
      </c>
      <c r="C245" s="113" t="s">
        <v>470</v>
      </c>
      <c r="D245" s="113" t="s">
        <v>43</v>
      </c>
      <c r="E245" s="113" t="s">
        <v>418</v>
      </c>
      <c r="F245" s="128"/>
      <c r="G245" s="147"/>
      <c r="H245" s="128">
        <f>H246</f>
        <v>2375</v>
      </c>
      <c r="I245" s="128">
        <f t="shared" ref="I245" si="111">I246</f>
        <v>2375</v>
      </c>
      <c r="J245" s="114">
        <f t="shared" si="98"/>
        <v>100</v>
      </c>
    </row>
    <row r="246" spans="1:10" s="175" customFormat="1" x14ac:dyDescent="0.2">
      <c r="A246" s="112" t="s">
        <v>419</v>
      </c>
      <c r="B246" s="113" t="s">
        <v>78</v>
      </c>
      <c r="C246" s="113" t="s">
        <v>470</v>
      </c>
      <c r="D246" s="113" t="s">
        <v>43</v>
      </c>
      <c r="E246" s="113" t="s">
        <v>420</v>
      </c>
      <c r="F246" s="128"/>
      <c r="G246" s="147"/>
      <c r="H246" s="128">
        <f>24750+2375-10800-13950</f>
        <v>2375</v>
      </c>
      <c r="I246" s="128">
        <v>2375</v>
      </c>
      <c r="J246" s="114">
        <f t="shared" si="98"/>
        <v>100</v>
      </c>
    </row>
    <row r="247" spans="1:10" s="175" customFormat="1" ht="24" x14ac:dyDescent="0.2">
      <c r="A247" s="117" t="s">
        <v>235</v>
      </c>
      <c r="B247" s="118" t="s">
        <v>78</v>
      </c>
      <c r="C247" s="118" t="s">
        <v>470</v>
      </c>
      <c r="D247" s="118" t="s">
        <v>44</v>
      </c>
      <c r="E247" s="118"/>
      <c r="F247" s="129">
        <f>F248</f>
        <v>10623</v>
      </c>
      <c r="G247" s="147">
        <f t="shared" si="96"/>
        <v>8947.4199999999983</v>
      </c>
      <c r="H247" s="129">
        <f>H248+H250</f>
        <v>19570.419999999998</v>
      </c>
      <c r="I247" s="129">
        <f t="shared" ref="I247" si="112">I248+I250</f>
        <v>14764.229009999999</v>
      </c>
      <c r="J247" s="119">
        <f t="shared" si="98"/>
        <v>75.441554192500732</v>
      </c>
    </row>
    <row r="248" spans="1:10" s="175" customFormat="1" x14ac:dyDescent="0.2">
      <c r="A248" s="112" t="s">
        <v>582</v>
      </c>
      <c r="B248" s="113" t="s">
        <v>78</v>
      </c>
      <c r="C248" s="113" t="s">
        <v>470</v>
      </c>
      <c r="D248" s="113" t="s">
        <v>44</v>
      </c>
      <c r="E248" s="113" t="s">
        <v>84</v>
      </c>
      <c r="F248" s="128">
        <f>F249</f>
        <v>10623</v>
      </c>
      <c r="G248" s="147">
        <f t="shared" si="96"/>
        <v>8822.4199999999983</v>
      </c>
      <c r="H248" s="128">
        <f>H249</f>
        <v>19445.419999999998</v>
      </c>
      <c r="I248" s="128">
        <f t="shared" ref="I248" si="113">I249</f>
        <v>14639.229009999999</v>
      </c>
      <c r="J248" s="114">
        <f t="shared" si="98"/>
        <v>75.283686389905697</v>
      </c>
    </row>
    <row r="249" spans="1:10" s="175" customFormat="1" x14ac:dyDescent="0.2">
      <c r="A249" s="112" t="s">
        <v>85</v>
      </c>
      <c r="B249" s="113" t="s">
        <v>78</v>
      </c>
      <c r="C249" s="113" t="s">
        <v>470</v>
      </c>
      <c r="D249" s="113" t="s">
        <v>44</v>
      </c>
      <c r="E249" s="113" t="s">
        <v>86</v>
      </c>
      <c r="F249" s="128">
        <v>10623</v>
      </c>
      <c r="G249" s="147">
        <f t="shared" si="96"/>
        <v>8822.4199999999983</v>
      </c>
      <c r="H249" s="128">
        <f>10623-2750+2232.72-125+1200+6714.7+1550</f>
        <v>19445.419999999998</v>
      </c>
      <c r="I249" s="128">
        <v>14639.229009999999</v>
      </c>
      <c r="J249" s="114">
        <f t="shared" si="98"/>
        <v>75.283686389905697</v>
      </c>
    </row>
    <row r="250" spans="1:10" s="175" customFormat="1" x14ac:dyDescent="0.2">
      <c r="A250" s="112" t="s">
        <v>417</v>
      </c>
      <c r="B250" s="113" t="s">
        <v>78</v>
      </c>
      <c r="C250" s="113" t="s">
        <v>470</v>
      </c>
      <c r="D250" s="113" t="s">
        <v>44</v>
      </c>
      <c r="E250" s="113" t="s">
        <v>418</v>
      </c>
      <c r="F250" s="128"/>
      <c r="G250" s="147"/>
      <c r="H250" s="128">
        <f>H251</f>
        <v>125</v>
      </c>
      <c r="I250" s="128">
        <f t="shared" ref="I250" si="114">I251</f>
        <v>125</v>
      </c>
      <c r="J250" s="114">
        <f t="shared" si="98"/>
        <v>100</v>
      </c>
    </row>
    <row r="251" spans="1:10" s="175" customFormat="1" x14ac:dyDescent="0.2">
      <c r="A251" s="112" t="s">
        <v>419</v>
      </c>
      <c r="B251" s="113" t="s">
        <v>78</v>
      </c>
      <c r="C251" s="113" t="s">
        <v>470</v>
      </c>
      <c r="D251" s="113" t="s">
        <v>44</v>
      </c>
      <c r="E251" s="113" t="s">
        <v>420</v>
      </c>
      <c r="F251" s="128"/>
      <c r="G251" s="147"/>
      <c r="H251" s="128">
        <f>2750+125-1200-1550</f>
        <v>125</v>
      </c>
      <c r="I251" s="128">
        <v>125</v>
      </c>
      <c r="J251" s="114">
        <f t="shared" si="98"/>
        <v>100</v>
      </c>
    </row>
    <row r="252" spans="1:10" s="175" customFormat="1" ht="36" x14ac:dyDescent="0.2">
      <c r="A252" s="103" t="s">
        <v>685</v>
      </c>
      <c r="B252" s="104" t="s">
        <v>572</v>
      </c>
      <c r="C252" s="104" t="s">
        <v>470</v>
      </c>
      <c r="D252" s="104" t="s">
        <v>573</v>
      </c>
      <c r="E252" s="104"/>
      <c r="F252" s="127">
        <f>F253+F255</f>
        <v>400000</v>
      </c>
      <c r="G252" s="147">
        <f t="shared" si="96"/>
        <v>0</v>
      </c>
      <c r="H252" s="127">
        <f>H253+H255</f>
        <v>400000</v>
      </c>
      <c r="I252" s="127">
        <f t="shared" ref="I252" si="115">I253+I255</f>
        <v>400000</v>
      </c>
      <c r="J252" s="105">
        <f t="shared" si="98"/>
        <v>100</v>
      </c>
    </row>
    <row r="253" spans="1:10" s="175" customFormat="1" x14ac:dyDescent="0.2">
      <c r="A253" s="112" t="s">
        <v>582</v>
      </c>
      <c r="B253" s="113" t="s">
        <v>78</v>
      </c>
      <c r="C253" s="113" t="s">
        <v>470</v>
      </c>
      <c r="D253" s="113" t="s">
        <v>573</v>
      </c>
      <c r="E253" s="113" t="s">
        <v>84</v>
      </c>
      <c r="F253" s="128">
        <f>F254</f>
        <v>329000</v>
      </c>
      <c r="G253" s="147">
        <f t="shared" si="96"/>
        <v>0</v>
      </c>
      <c r="H253" s="128">
        <f>H254</f>
        <v>329000</v>
      </c>
      <c r="I253" s="128">
        <f t="shared" ref="I253" si="116">I254</f>
        <v>329000</v>
      </c>
      <c r="J253" s="114">
        <f t="shared" si="98"/>
        <v>100</v>
      </c>
    </row>
    <row r="254" spans="1:10" s="175" customFormat="1" x14ac:dyDescent="0.2">
      <c r="A254" s="112" t="s">
        <v>85</v>
      </c>
      <c r="B254" s="113" t="s">
        <v>78</v>
      </c>
      <c r="C254" s="113" t="s">
        <v>470</v>
      </c>
      <c r="D254" s="113" t="s">
        <v>573</v>
      </c>
      <c r="E254" s="113" t="s">
        <v>86</v>
      </c>
      <c r="F254" s="128">
        <v>329000</v>
      </c>
      <c r="G254" s="147">
        <f t="shared" si="96"/>
        <v>0</v>
      </c>
      <c r="H254" s="128">
        <v>329000</v>
      </c>
      <c r="I254" s="128">
        <v>329000</v>
      </c>
      <c r="J254" s="114">
        <f t="shared" si="98"/>
        <v>100</v>
      </c>
    </row>
    <row r="255" spans="1:10" s="175" customFormat="1" x14ac:dyDescent="0.2">
      <c r="A255" s="112" t="s">
        <v>417</v>
      </c>
      <c r="B255" s="113" t="s">
        <v>78</v>
      </c>
      <c r="C255" s="113" t="s">
        <v>470</v>
      </c>
      <c r="D255" s="113" t="s">
        <v>573</v>
      </c>
      <c r="E255" s="113" t="s">
        <v>418</v>
      </c>
      <c r="F255" s="128">
        <f>F256</f>
        <v>71000</v>
      </c>
      <c r="G255" s="147">
        <f t="shared" si="96"/>
        <v>0</v>
      </c>
      <c r="H255" s="128">
        <f>H256</f>
        <v>71000</v>
      </c>
      <c r="I255" s="128">
        <f t="shared" ref="I255" si="117">I256</f>
        <v>71000</v>
      </c>
      <c r="J255" s="114">
        <f t="shared" si="98"/>
        <v>100</v>
      </c>
    </row>
    <row r="256" spans="1:10" s="175" customFormat="1" x14ac:dyDescent="0.2">
      <c r="A256" s="112" t="s">
        <v>419</v>
      </c>
      <c r="B256" s="113" t="s">
        <v>78</v>
      </c>
      <c r="C256" s="113" t="s">
        <v>470</v>
      </c>
      <c r="D256" s="113" t="s">
        <v>573</v>
      </c>
      <c r="E256" s="113" t="s">
        <v>420</v>
      </c>
      <c r="F256" s="128">
        <v>71000</v>
      </c>
      <c r="G256" s="147">
        <f t="shared" si="96"/>
        <v>0</v>
      </c>
      <c r="H256" s="128">
        <v>71000</v>
      </c>
      <c r="I256" s="128">
        <v>71000</v>
      </c>
      <c r="J256" s="114">
        <f t="shared" si="98"/>
        <v>100</v>
      </c>
    </row>
    <row r="257" spans="1:10" s="175" customFormat="1" ht="24" x14ac:dyDescent="0.2">
      <c r="A257" s="103" t="s">
        <v>574</v>
      </c>
      <c r="B257" s="104" t="s">
        <v>572</v>
      </c>
      <c r="C257" s="104" t="s">
        <v>470</v>
      </c>
      <c r="D257" s="104" t="s">
        <v>575</v>
      </c>
      <c r="E257" s="104"/>
      <c r="F257" s="127">
        <f>F258+F260</f>
        <v>100243</v>
      </c>
      <c r="G257" s="147">
        <f t="shared" si="96"/>
        <v>28198.801999999996</v>
      </c>
      <c r="H257" s="127">
        <f>H258+H260</f>
        <v>128441.802</v>
      </c>
      <c r="I257" s="127">
        <f t="shared" ref="I257" si="118">I258+I260</f>
        <v>115894.07799999999</v>
      </c>
      <c r="J257" s="105">
        <f t="shared" si="98"/>
        <v>90.230809748371485</v>
      </c>
    </row>
    <row r="258" spans="1:10" s="175" customFormat="1" x14ac:dyDescent="0.2">
      <c r="A258" s="112" t="s">
        <v>582</v>
      </c>
      <c r="B258" s="113" t="s">
        <v>78</v>
      </c>
      <c r="C258" s="113" t="s">
        <v>470</v>
      </c>
      <c r="D258" s="113" t="s">
        <v>575</v>
      </c>
      <c r="E258" s="113" t="s">
        <v>84</v>
      </c>
      <c r="F258" s="128">
        <f>F259</f>
        <v>91437.55</v>
      </c>
      <c r="G258" s="147">
        <f t="shared" si="96"/>
        <v>28198.801999999996</v>
      </c>
      <c r="H258" s="128">
        <f>H259</f>
        <v>119636.352</v>
      </c>
      <c r="I258" s="128">
        <f t="shared" ref="I258" si="119">I259</f>
        <v>107088.62699999999</v>
      </c>
      <c r="J258" s="114">
        <f t="shared" si="98"/>
        <v>89.511778995066649</v>
      </c>
    </row>
    <row r="259" spans="1:10" s="175" customFormat="1" x14ac:dyDescent="0.2">
      <c r="A259" s="112" t="s">
        <v>85</v>
      </c>
      <c r="B259" s="113" t="s">
        <v>78</v>
      </c>
      <c r="C259" s="113" t="s">
        <v>470</v>
      </c>
      <c r="D259" s="113" t="s">
        <v>575</v>
      </c>
      <c r="E259" s="113" t="s">
        <v>86</v>
      </c>
      <c r="F259" s="128">
        <v>91437.55</v>
      </c>
      <c r="G259" s="147">
        <f t="shared" si="96"/>
        <v>28198.801999999996</v>
      </c>
      <c r="H259" s="128">
        <f>91437.55+28526.696-327.894</f>
        <v>119636.352</v>
      </c>
      <c r="I259" s="128">
        <v>107088.62699999999</v>
      </c>
      <c r="J259" s="114">
        <f t="shared" si="98"/>
        <v>89.511778995066649</v>
      </c>
    </row>
    <row r="260" spans="1:10" s="175" customFormat="1" x14ac:dyDescent="0.2">
      <c r="A260" s="112" t="s">
        <v>417</v>
      </c>
      <c r="B260" s="113" t="s">
        <v>78</v>
      </c>
      <c r="C260" s="113" t="s">
        <v>470</v>
      </c>
      <c r="D260" s="113" t="s">
        <v>575</v>
      </c>
      <c r="E260" s="113" t="s">
        <v>418</v>
      </c>
      <c r="F260" s="128">
        <f>F261</f>
        <v>8805.4500000000007</v>
      </c>
      <c r="G260" s="147">
        <f t="shared" si="96"/>
        <v>0</v>
      </c>
      <c r="H260" s="128">
        <f>H261</f>
        <v>8805.4500000000007</v>
      </c>
      <c r="I260" s="128">
        <f t="shared" ref="I260" si="120">I261</f>
        <v>8805.4509999999991</v>
      </c>
      <c r="J260" s="114">
        <f t="shared" si="98"/>
        <v>100.000011356603</v>
      </c>
    </row>
    <row r="261" spans="1:10" s="175" customFormat="1" x14ac:dyDescent="0.2">
      <c r="A261" s="112" t="s">
        <v>419</v>
      </c>
      <c r="B261" s="113" t="s">
        <v>78</v>
      </c>
      <c r="C261" s="113" t="s">
        <v>470</v>
      </c>
      <c r="D261" s="113" t="s">
        <v>575</v>
      </c>
      <c r="E261" s="113" t="s">
        <v>420</v>
      </c>
      <c r="F261" s="128">
        <v>8805.4500000000007</v>
      </c>
      <c r="G261" s="147">
        <f t="shared" si="96"/>
        <v>0</v>
      </c>
      <c r="H261" s="128">
        <v>8805.4500000000007</v>
      </c>
      <c r="I261" s="128">
        <v>8805.4509999999991</v>
      </c>
      <c r="J261" s="114">
        <f t="shared" si="98"/>
        <v>100.000011356603</v>
      </c>
    </row>
    <row r="262" spans="1:10" s="175" customFormat="1" x14ac:dyDescent="0.2">
      <c r="A262" s="117" t="s">
        <v>440</v>
      </c>
      <c r="B262" s="118" t="s">
        <v>78</v>
      </c>
      <c r="C262" s="118" t="s">
        <v>470</v>
      </c>
      <c r="D262" s="118" t="s">
        <v>322</v>
      </c>
      <c r="E262" s="118"/>
      <c r="F262" s="119">
        <f>F263+F271</f>
        <v>18034.3</v>
      </c>
      <c r="G262" s="147">
        <f t="shared" si="96"/>
        <v>22075.000000000004</v>
      </c>
      <c r="H262" s="119">
        <f>H263+H271</f>
        <v>40109.300000000003</v>
      </c>
      <c r="I262" s="119">
        <f t="shared" ref="I262" si="121">I263+I271</f>
        <v>39669.487959999999</v>
      </c>
      <c r="J262" s="119">
        <f t="shared" si="98"/>
        <v>98.903466178666775</v>
      </c>
    </row>
    <row r="263" spans="1:10" s="175" customFormat="1" x14ac:dyDescent="0.2">
      <c r="A263" s="152" t="s">
        <v>328</v>
      </c>
      <c r="B263" s="132" t="s">
        <v>78</v>
      </c>
      <c r="C263" s="132" t="s">
        <v>470</v>
      </c>
      <c r="D263" s="153" t="s">
        <v>585</v>
      </c>
      <c r="E263" s="132"/>
      <c r="F263" s="137">
        <f>F264</f>
        <v>4350</v>
      </c>
      <c r="G263" s="147">
        <f t="shared" si="96"/>
        <v>75</v>
      </c>
      <c r="H263" s="137">
        <f>H264</f>
        <v>4425</v>
      </c>
      <c r="I263" s="137">
        <f t="shared" ref="I263" si="122">I264</f>
        <v>4101.5959199999998</v>
      </c>
      <c r="J263" s="137">
        <f t="shared" si="98"/>
        <v>92.691433220338979</v>
      </c>
    </row>
    <row r="264" spans="1:10" s="175" customFormat="1" x14ac:dyDescent="0.2">
      <c r="A264" s="103" t="s">
        <v>471</v>
      </c>
      <c r="B264" s="104" t="s">
        <v>78</v>
      </c>
      <c r="C264" s="104" t="s">
        <v>470</v>
      </c>
      <c r="D264" s="104" t="s">
        <v>585</v>
      </c>
      <c r="E264" s="104"/>
      <c r="F264" s="105">
        <f>F265+F267+F269</f>
        <v>4350</v>
      </c>
      <c r="G264" s="147">
        <f t="shared" si="96"/>
        <v>75</v>
      </c>
      <c r="H264" s="105">
        <f>H265+H267+H269</f>
        <v>4425</v>
      </c>
      <c r="I264" s="105">
        <f t="shared" ref="I264" si="123">I265+I267+I269</f>
        <v>4101.5959199999998</v>
      </c>
      <c r="J264" s="105">
        <f t="shared" si="98"/>
        <v>92.691433220338979</v>
      </c>
    </row>
    <row r="265" spans="1:10" s="175" customFormat="1" ht="24" x14ac:dyDescent="0.2">
      <c r="A265" s="112" t="s">
        <v>79</v>
      </c>
      <c r="B265" s="113" t="s">
        <v>78</v>
      </c>
      <c r="C265" s="113" t="s">
        <v>470</v>
      </c>
      <c r="D265" s="113" t="s">
        <v>585</v>
      </c>
      <c r="E265" s="113" t="s">
        <v>80</v>
      </c>
      <c r="F265" s="114">
        <f>F266</f>
        <v>3890</v>
      </c>
      <c r="G265" s="147">
        <f t="shared" si="96"/>
        <v>-65</v>
      </c>
      <c r="H265" s="114">
        <f>H266</f>
        <v>3825</v>
      </c>
      <c r="I265" s="114">
        <f t="shared" ref="I265" si="124">I266</f>
        <v>3537.1462700000002</v>
      </c>
      <c r="J265" s="114">
        <f t="shared" si="98"/>
        <v>92.474412287581714</v>
      </c>
    </row>
    <row r="266" spans="1:10" s="175" customFormat="1" x14ac:dyDescent="0.2">
      <c r="A266" s="112" t="s">
        <v>472</v>
      </c>
      <c r="B266" s="113" t="s">
        <v>78</v>
      </c>
      <c r="C266" s="113" t="s">
        <v>470</v>
      </c>
      <c r="D266" s="113" t="s">
        <v>585</v>
      </c>
      <c r="E266" s="113" t="s">
        <v>473</v>
      </c>
      <c r="F266" s="114">
        <f>2990+900</f>
        <v>3890</v>
      </c>
      <c r="G266" s="147">
        <f t="shared" si="96"/>
        <v>-65</v>
      </c>
      <c r="H266" s="114">
        <f>2990+900-65</f>
        <v>3825</v>
      </c>
      <c r="I266" s="114">
        <v>3537.1462700000002</v>
      </c>
      <c r="J266" s="114">
        <f t="shared" si="98"/>
        <v>92.474412287581714</v>
      </c>
    </row>
    <row r="267" spans="1:10" s="175" customFormat="1" x14ac:dyDescent="0.2">
      <c r="A267" s="112" t="s">
        <v>582</v>
      </c>
      <c r="B267" s="113" t="s">
        <v>78</v>
      </c>
      <c r="C267" s="113" t="s">
        <v>470</v>
      </c>
      <c r="D267" s="113" t="s">
        <v>585</v>
      </c>
      <c r="E267" s="113" t="s">
        <v>84</v>
      </c>
      <c r="F267" s="114">
        <f>F268</f>
        <v>294.7</v>
      </c>
      <c r="G267" s="147">
        <f t="shared" si="96"/>
        <v>110.88100000000003</v>
      </c>
      <c r="H267" s="114">
        <f>H268</f>
        <v>405.58100000000002</v>
      </c>
      <c r="I267" s="114">
        <f t="shared" ref="I267" si="125">I268</f>
        <v>403.59253000000001</v>
      </c>
      <c r="J267" s="114">
        <f t="shared" si="98"/>
        <v>99.509723088606222</v>
      </c>
    </row>
    <row r="268" spans="1:10" s="175" customFormat="1" x14ac:dyDescent="0.2">
      <c r="A268" s="112" t="s">
        <v>85</v>
      </c>
      <c r="B268" s="113" t="s">
        <v>78</v>
      </c>
      <c r="C268" s="113" t="s">
        <v>470</v>
      </c>
      <c r="D268" s="113" t="s">
        <v>585</v>
      </c>
      <c r="E268" s="113" t="s">
        <v>86</v>
      </c>
      <c r="F268" s="114">
        <f>99+104.5+91.2</f>
        <v>294.7</v>
      </c>
      <c r="G268" s="147">
        <f t="shared" si="96"/>
        <v>110.88100000000003</v>
      </c>
      <c r="H268" s="114">
        <f>99+104.5+91.2-29.119+65+75</f>
        <v>405.58100000000002</v>
      </c>
      <c r="I268" s="114">
        <v>403.59253000000001</v>
      </c>
      <c r="J268" s="114">
        <f t="shared" si="98"/>
        <v>99.509723088606222</v>
      </c>
    </row>
    <row r="269" spans="1:10" s="175" customFormat="1" x14ac:dyDescent="0.2">
      <c r="A269" s="112" t="s">
        <v>87</v>
      </c>
      <c r="B269" s="113" t="s">
        <v>78</v>
      </c>
      <c r="C269" s="113" t="s">
        <v>470</v>
      </c>
      <c r="D269" s="113" t="s">
        <v>585</v>
      </c>
      <c r="E269" s="113" t="s">
        <v>88</v>
      </c>
      <c r="F269" s="114">
        <f>F270</f>
        <v>165.3</v>
      </c>
      <c r="G269" s="147">
        <f t="shared" si="96"/>
        <v>29.119</v>
      </c>
      <c r="H269" s="114">
        <f>H270</f>
        <v>194.41900000000001</v>
      </c>
      <c r="I269" s="114">
        <f t="shared" ref="I269" si="126">I270</f>
        <v>160.85712000000001</v>
      </c>
      <c r="J269" s="114">
        <f t="shared" si="98"/>
        <v>82.737345629799549</v>
      </c>
    </row>
    <row r="270" spans="1:10" s="175" customFormat="1" x14ac:dyDescent="0.2">
      <c r="A270" s="112" t="s">
        <v>154</v>
      </c>
      <c r="B270" s="113" t="s">
        <v>78</v>
      </c>
      <c r="C270" s="113" t="s">
        <v>470</v>
      </c>
      <c r="D270" s="113" t="s">
        <v>585</v>
      </c>
      <c r="E270" s="113" t="s">
        <v>89</v>
      </c>
      <c r="F270" s="114">
        <v>165.3</v>
      </c>
      <c r="G270" s="147">
        <f t="shared" si="96"/>
        <v>29.119</v>
      </c>
      <c r="H270" s="114">
        <f>165.3+29.119</f>
        <v>194.41900000000001</v>
      </c>
      <c r="I270" s="114">
        <v>160.85712000000001</v>
      </c>
      <c r="J270" s="114">
        <f t="shared" si="98"/>
        <v>82.737345629799549</v>
      </c>
    </row>
    <row r="271" spans="1:10" s="175" customFormat="1" x14ac:dyDescent="0.2">
      <c r="A271" s="121" t="s">
        <v>329</v>
      </c>
      <c r="B271" s="118" t="s">
        <v>78</v>
      </c>
      <c r="C271" s="118" t="s">
        <v>470</v>
      </c>
      <c r="D271" s="122" t="s">
        <v>586</v>
      </c>
      <c r="E271" s="118"/>
      <c r="F271" s="119">
        <f>F272</f>
        <v>13684.3</v>
      </c>
      <c r="G271" s="147">
        <f t="shared" si="96"/>
        <v>22000.000000000004</v>
      </c>
      <c r="H271" s="119">
        <f>H272</f>
        <v>35684.300000000003</v>
      </c>
      <c r="I271" s="119">
        <f t="shared" ref="I271:I272" si="127">I272</f>
        <v>35567.892039999999</v>
      </c>
      <c r="J271" s="119">
        <f t="shared" si="98"/>
        <v>99.673783820896006</v>
      </c>
    </row>
    <row r="272" spans="1:10" s="175" customFormat="1" x14ac:dyDescent="0.2">
      <c r="A272" s="112" t="s">
        <v>104</v>
      </c>
      <c r="B272" s="113" t="s">
        <v>78</v>
      </c>
      <c r="C272" s="113" t="s">
        <v>470</v>
      </c>
      <c r="D272" s="113" t="s">
        <v>586</v>
      </c>
      <c r="E272" s="113" t="s">
        <v>391</v>
      </c>
      <c r="F272" s="114">
        <f>F273</f>
        <v>13684.3</v>
      </c>
      <c r="G272" s="147">
        <f t="shared" si="96"/>
        <v>22000.000000000004</v>
      </c>
      <c r="H272" s="114">
        <f>H273</f>
        <v>35684.300000000003</v>
      </c>
      <c r="I272" s="114">
        <f t="shared" si="127"/>
        <v>35567.892039999999</v>
      </c>
      <c r="J272" s="114">
        <f t="shared" si="98"/>
        <v>99.673783820896006</v>
      </c>
    </row>
    <row r="273" spans="1:10" s="175" customFormat="1" x14ac:dyDescent="0.2">
      <c r="A273" s="112" t="s">
        <v>105</v>
      </c>
      <c r="B273" s="113" t="s">
        <v>78</v>
      </c>
      <c r="C273" s="113" t="s">
        <v>470</v>
      </c>
      <c r="D273" s="113" t="s">
        <v>586</v>
      </c>
      <c r="E273" s="113" t="s">
        <v>409</v>
      </c>
      <c r="F273" s="114">
        <v>13684.3</v>
      </c>
      <c r="G273" s="147">
        <f t="shared" si="96"/>
        <v>22000.000000000004</v>
      </c>
      <c r="H273" s="114">
        <f>13684.3+10000+1000+11000</f>
        <v>35684.300000000003</v>
      </c>
      <c r="I273" s="114">
        <v>35567.892039999999</v>
      </c>
      <c r="J273" s="114">
        <f t="shared" si="98"/>
        <v>99.673783820896006</v>
      </c>
    </row>
    <row r="274" spans="1:10" s="175" customFormat="1" x14ac:dyDescent="0.2">
      <c r="A274" s="103" t="s">
        <v>388</v>
      </c>
      <c r="B274" s="104" t="s">
        <v>78</v>
      </c>
      <c r="C274" s="104" t="s">
        <v>475</v>
      </c>
      <c r="D274" s="123"/>
      <c r="E274" s="113"/>
      <c r="F274" s="105" t="e">
        <f>F275+F291+F296+F303</f>
        <v>#REF!</v>
      </c>
      <c r="G274" s="147" t="e">
        <f t="shared" si="96"/>
        <v>#REF!</v>
      </c>
      <c r="H274" s="105">
        <f>H275+H291+H296+H303</f>
        <v>13950</v>
      </c>
      <c r="I274" s="105">
        <f t="shared" ref="I274" si="128">I275+I291+I296+I303</f>
        <v>10447.076000000001</v>
      </c>
      <c r="J274" s="105">
        <f t="shared" si="98"/>
        <v>74.889433691756281</v>
      </c>
    </row>
    <row r="275" spans="1:10" s="175" customFormat="1" ht="27" x14ac:dyDescent="0.2">
      <c r="A275" s="116" t="s">
        <v>551</v>
      </c>
      <c r="B275" s="107" t="s">
        <v>78</v>
      </c>
      <c r="C275" s="107" t="s">
        <v>475</v>
      </c>
      <c r="D275" s="107" t="s">
        <v>214</v>
      </c>
      <c r="E275" s="107"/>
      <c r="F275" s="145">
        <f>F276+F279+F282+F285+F288</f>
        <v>1500</v>
      </c>
      <c r="G275" s="147">
        <f t="shared" si="96"/>
        <v>-240</v>
      </c>
      <c r="H275" s="145">
        <f>H276+H279+H282+H285+H288</f>
        <v>1260</v>
      </c>
      <c r="I275" s="286">
        <f t="shared" ref="I275" si="129">I276+I279+I282+I285+I288</f>
        <v>0</v>
      </c>
      <c r="J275" s="284">
        <f t="shared" si="98"/>
        <v>0</v>
      </c>
    </row>
    <row r="276" spans="1:10" s="175" customFormat="1" ht="36" x14ac:dyDescent="0.2">
      <c r="A276" s="146" t="s">
        <v>552</v>
      </c>
      <c r="B276" s="104" t="s">
        <v>78</v>
      </c>
      <c r="C276" s="104" t="s">
        <v>475</v>
      </c>
      <c r="D276" s="104" t="s">
        <v>553</v>
      </c>
      <c r="E276" s="104"/>
      <c r="F276" s="147">
        <f>F277</f>
        <v>200</v>
      </c>
      <c r="G276" s="147">
        <f t="shared" si="96"/>
        <v>0</v>
      </c>
      <c r="H276" s="147">
        <f>H277</f>
        <v>200</v>
      </c>
      <c r="I276" s="284">
        <f t="shared" ref="I276:I277" si="130">I277</f>
        <v>0</v>
      </c>
      <c r="J276" s="284">
        <f t="shared" si="98"/>
        <v>0</v>
      </c>
    </row>
    <row r="277" spans="1:10" s="175" customFormat="1" x14ac:dyDescent="0.2">
      <c r="A277" s="112" t="s">
        <v>294</v>
      </c>
      <c r="B277" s="113" t="s">
        <v>78</v>
      </c>
      <c r="C277" s="113" t="s">
        <v>475</v>
      </c>
      <c r="D277" s="113" t="s">
        <v>553</v>
      </c>
      <c r="E277" s="113" t="s">
        <v>84</v>
      </c>
      <c r="F277" s="148">
        <f>F278</f>
        <v>200</v>
      </c>
      <c r="G277" s="147">
        <f t="shared" si="96"/>
        <v>0</v>
      </c>
      <c r="H277" s="148">
        <f>H278</f>
        <v>200</v>
      </c>
      <c r="I277" s="285">
        <f t="shared" si="130"/>
        <v>0</v>
      </c>
      <c r="J277" s="284">
        <f t="shared" si="98"/>
        <v>0</v>
      </c>
    </row>
    <row r="278" spans="1:10" s="175" customFormat="1" x14ac:dyDescent="0.2">
      <c r="A278" s="112" t="s">
        <v>85</v>
      </c>
      <c r="B278" s="113" t="s">
        <v>78</v>
      </c>
      <c r="C278" s="113" t="s">
        <v>475</v>
      </c>
      <c r="D278" s="113" t="s">
        <v>553</v>
      </c>
      <c r="E278" s="113" t="s">
        <v>86</v>
      </c>
      <c r="F278" s="148">
        <v>200</v>
      </c>
      <c r="G278" s="147">
        <f t="shared" si="96"/>
        <v>0</v>
      </c>
      <c r="H278" s="148">
        <v>200</v>
      </c>
      <c r="I278" s="285">
        <v>0</v>
      </c>
      <c r="J278" s="284">
        <f t="shared" si="98"/>
        <v>0</v>
      </c>
    </row>
    <row r="279" spans="1:10" s="175" customFormat="1" ht="36" x14ac:dyDescent="0.2">
      <c r="A279" s="146" t="s">
        <v>721</v>
      </c>
      <c r="B279" s="104" t="s">
        <v>78</v>
      </c>
      <c r="C279" s="104" t="s">
        <v>475</v>
      </c>
      <c r="D279" s="104" t="s">
        <v>554</v>
      </c>
      <c r="E279" s="104"/>
      <c r="F279" s="147">
        <f>F280</f>
        <v>300</v>
      </c>
      <c r="G279" s="147">
        <f t="shared" si="96"/>
        <v>0</v>
      </c>
      <c r="H279" s="147">
        <f>H280</f>
        <v>300</v>
      </c>
      <c r="I279" s="284">
        <f t="shared" ref="I279:I280" si="131">I280</f>
        <v>0</v>
      </c>
      <c r="J279" s="284">
        <f t="shared" si="98"/>
        <v>0</v>
      </c>
    </row>
    <row r="280" spans="1:10" s="175" customFormat="1" x14ac:dyDescent="0.2">
      <c r="A280" s="112" t="s">
        <v>294</v>
      </c>
      <c r="B280" s="113" t="s">
        <v>78</v>
      </c>
      <c r="C280" s="113" t="s">
        <v>475</v>
      </c>
      <c r="D280" s="113" t="s">
        <v>554</v>
      </c>
      <c r="E280" s="113" t="s">
        <v>84</v>
      </c>
      <c r="F280" s="148">
        <f>F281</f>
        <v>300</v>
      </c>
      <c r="G280" s="147">
        <f t="shared" si="96"/>
        <v>0</v>
      </c>
      <c r="H280" s="148">
        <f>H281</f>
        <v>300</v>
      </c>
      <c r="I280" s="285">
        <f t="shared" si="131"/>
        <v>0</v>
      </c>
      <c r="J280" s="284">
        <f t="shared" si="98"/>
        <v>0</v>
      </c>
    </row>
    <row r="281" spans="1:10" s="175" customFormat="1" x14ac:dyDescent="0.2">
      <c r="A281" s="112" t="s">
        <v>85</v>
      </c>
      <c r="B281" s="113" t="s">
        <v>78</v>
      </c>
      <c r="C281" s="113" t="s">
        <v>475</v>
      </c>
      <c r="D281" s="113" t="s">
        <v>554</v>
      </c>
      <c r="E281" s="113" t="s">
        <v>86</v>
      </c>
      <c r="F281" s="148">
        <v>300</v>
      </c>
      <c r="G281" s="147">
        <f t="shared" si="96"/>
        <v>0</v>
      </c>
      <c r="H281" s="148">
        <v>300</v>
      </c>
      <c r="I281" s="285">
        <v>0</v>
      </c>
      <c r="J281" s="284">
        <f t="shared" si="98"/>
        <v>0</v>
      </c>
    </row>
    <row r="282" spans="1:10" s="175" customFormat="1" ht="24" x14ac:dyDescent="0.2">
      <c r="A282" s="103" t="s">
        <v>555</v>
      </c>
      <c r="B282" s="104" t="s">
        <v>78</v>
      </c>
      <c r="C282" s="104" t="s">
        <v>475</v>
      </c>
      <c r="D282" s="104" t="s">
        <v>556</v>
      </c>
      <c r="E282" s="104"/>
      <c r="F282" s="147">
        <f>F283</f>
        <v>300</v>
      </c>
      <c r="G282" s="147">
        <f t="shared" si="96"/>
        <v>0</v>
      </c>
      <c r="H282" s="147">
        <f>H283</f>
        <v>300</v>
      </c>
      <c r="I282" s="284">
        <f t="shared" ref="I282:I283" si="132">I283</f>
        <v>0</v>
      </c>
      <c r="J282" s="284">
        <f t="shared" si="98"/>
        <v>0</v>
      </c>
    </row>
    <row r="283" spans="1:10" s="175" customFormat="1" x14ac:dyDescent="0.2">
      <c r="A283" s="112" t="s">
        <v>294</v>
      </c>
      <c r="B283" s="113" t="s">
        <v>78</v>
      </c>
      <c r="C283" s="113" t="s">
        <v>475</v>
      </c>
      <c r="D283" s="113" t="s">
        <v>556</v>
      </c>
      <c r="E283" s="113" t="s">
        <v>84</v>
      </c>
      <c r="F283" s="148">
        <f>F284</f>
        <v>300</v>
      </c>
      <c r="G283" s="147">
        <f t="shared" si="96"/>
        <v>0</v>
      </c>
      <c r="H283" s="148">
        <f>H284</f>
        <v>300</v>
      </c>
      <c r="I283" s="285">
        <f t="shared" si="132"/>
        <v>0</v>
      </c>
      <c r="J283" s="284">
        <f t="shared" si="98"/>
        <v>0</v>
      </c>
    </row>
    <row r="284" spans="1:10" s="175" customFormat="1" x14ac:dyDescent="0.2">
      <c r="A284" s="112" t="s">
        <v>85</v>
      </c>
      <c r="B284" s="113" t="s">
        <v>78</v>
      </c>
      <c r="C284" s="113" t="s">
        <v>475</v>
      </c>
      <c r="D284" s="113" t="s">
        <v>556</v>
      </c>
      <c r="E284" s="113" t="s">
        <v>86</v>
      </c>
      <c r="F284" s="148">
        <v>300</v>
      </c>
      <c r="G284" s="147">
        <f t="shared" si="96"/>
        <v>0</v>
      </c>
      <c r="H284" s="148">
        <v>300</v>
      </c>
      <c r="I284" s="285">
        <v>0</v>
      </c>
      <c r="J284" s="284">
        <f t="shared" si="98"/>
        <v>0</v>
      </c>
    </row>
    <row r="285" spans="1:10" s="175" customFormat="1" ht="24" x14ac:dyDescent="0.2">
      <c r="A285" s="103" t="s">
        <v>483</v>
      </c>
      <c r="B285" s="104" t="s">
        <v>78</v>
      </c>
      <c r="C285" s="104" t="s">
        <v>475</v>
      </c>
      <c r="D285" s="104" t="s">
        <v>557</v>
      </c>
      <c r="E285" s="104"/>
      <c r="F285" s="147">
        <f>F286</f>
        <v>400</v>
      </c>
      <c r="G285" s="147">
        <f t="shared" si="96"/>
        <v>0</v>
      </c>
      <c r="H285" s="147">
        <f>H286</f>
        <v>400</v>
      </c>
      <c r="I285" s="284">
        <f t="shared" ref="I285:I286" si="133">I286</f>
        <v>0</v>
      </c>
      <c r="J285" s="284">
        <f t="shared" si="98"/>
        <v>0</v>
      </c>
    </row>
    <row r="286" spans="1:10" s="175" customFormat="1" x14ac:dyDescent="0.2">
      <c r="A286" s="112" t="s">
        <v>294</v>
      </c>
      <c r="B286" s="113" t="s">
        <v>78</v>
      </c>
      <c r="C286" s="113" t="s">
        <v>475</v>
      </c>
      <c r="D286" s="113" t="s">
        <v>557</v>
      </c>
      <c r="E286" s="113" t="s">
        <v>84</v>
      </c>
      <c r="F286" s="148">
        <f>F287</f>
        <v>400</v>
      </c>
      <c r="G286" s="147">
        <f t="shared" si="96"/>
        <v>0</v>
      </c>
      <c r="H286" s="148">
        <f>H287</f>
        <v>400</v>
      </c>
      <c r="I286" s="285">
        <f t="shared" si="133"/>
        <v>0</v>
      </c>
      <c r="J286" s="284">
        <f t="shared" si="98"/>
        <v>0</v>
      </c>
    </row>
    <row r="287" spans="1:10" s="175" customFormat="1" x14ac:dyDescent="0.2">
      <c r="A287" s="112" t="s">
        <v>85</v>
      </c>
      <c r="B287" s="113" t="s">
        <v>78</v>
      </c>
      <c r="C287" s="113" t="s">
        <v>475</v>
      </c>
      <c r="D287" s="113" t="s">
        <v>557</v>
      </c>
      <c r="E287" s="113" t="s">
        <v>86</v>
      </c>
      <c r="F287" s="148">
        <v>400</v>
      </c>
      <c r="G287" s="147">
        <f t="shared" si="96"/>
        <v>0</v>
      </c>
      <c r="H287" s="148">
        <v>400</v>
      </c>
      <c r="I287" s="285">
        <v>0</v>
      </c>
      <c r="J287" s="284">
        <f t="shared" si="98"/>
        <v>0</v>
      </c>
    </row>
    <row r="288" spans="1:10" s="175" customFormat="1" ht="24" x14ac:dyDescent="0.2">
      <c r="A288" s="103" t="s">
        <v>558</v>
      </c>
      <c r="B288" s="104" t="s">
        <v>78</v>
      </c>
      <c r="C288" s="104" t="s">
        <v>475</v>
      </c>
      <c r="D288" s="104" t="s">
        <v>559</v>
      </c>
      <c r="E288" s="104"/>
      <c r="F288" s="147">
        <f>F289</f>
        <v>300</v>
      </c>
      <c r="G288" s="147">
        <f t="shared" si="96"/>
        <v>-240</v>
      </c>
      <c r="H288" s="147">
        <f>H289</f>
        <v>60</v>
      </c>
      <c r="I288" s="284">
        <f t="shared" ref="I288:I289" si="134">I289</f>
        <v>0</v>
      </c>
      <c r="J288" s="284">
        <f t="shared" si="98"/>
        <v>0</v>
      </c>
    </row>
    <row r="289" spans="1:10" s="175" customFormat="1" x14ac:dyDescent="0.2">
      <c r="A289" s="112" t="s">
        <v>294</v>
      </c>
      <c r="B289" s="113" t="s">
        <v>78</v>
      </c>
      <c r="C289" s="113" t="s">
        <v>475</v>
      </c>
      <c r="D289" s="113" t="s">
        <v>559</v>
      </c>
      <c r="E289" s="113" t="s">
        <v>84</v>
      </c>
      <c r="F289" s="148">
        <f>F290</f>
        <v>300</v>
      </c>
      <c r="G289" s="147">
        <f t="shared" si="96"/>
        <v>-240</v>
      </c>
      <c r="H289" s="148">
        <f>H290</f>
        <v>60</v>
      </c>
      <c r="I289" s="285">
        <f t="shared" si="134"/>
        <v>0</v>
      </c>
      <c r="J289" s="284">
        <f t="shared" ref="J289:J352" si="135">I289/H289*100</f>
        <v>0</v>
      </c>
    </row>
    <row r="290" spans="1:10" s="175" customFormat="1" x14ac:dyDescent="0.2">
      <c r="A290" s="112" t="s">
        <v>85</v>
      </c>
      <c r="B290" s="113" t="s">
        <v>78</v>
      </c>
      <c r="C290" s="113" t="s">
        <v>475</v>
      </c>
      <c r="D290" s="113" t="s">
        <v>559</v>
      </c>
      <c r="E290" s="113" t="s">
        <v>86</v>
      </c>
      <c r="F290" s="148">
        <v>300</v>
      </c>
      <c r="G290" s="147">
        <f t="shared" ref="G290:G371" si="136">H290-F290</f>
        <v>-240</v>
      </c>
      <c r="H290" s="148">
        <f>300-240</f>
        <v>60</v>
      </c>
      <c r="I290" s="285">
        <v>0</v>
      </c>
      <c r="J290" s="284">
        <f t="shared" si="135"/>
        <v>0</v>
      </c>
    </row>
    <row r="291" spans="1:10" s="175" customFormat="1" ht="27" x14ac:dyDescent="0.2">
      <c r="A291" s="116" t="s">
        <v>677</v>
      </c>
      <c r="B291" s="107" t="s">
        <v>78</v>
      </c>
      <c r="C291" s="107" t="s">
        <v>475</v>
      </c>
      <c r="D291" s="107" t="s">
        <v>237</v>
      </c>
      <c r="E291" s="107"/>
      <c r="F291" s="108">
        <f>F292</f>
        <v>5000</v>
      </c>
      <c r="G291" s="147">
        <f t="shared" si="136"/>
        <v>-1470</v>
      </c>
      <c r="H291" s="108">
        <f>H292</f>
        <v>3530</v>
      </c>
      <c r="I291" s="108">
        <f t="shared" ref="I291:I292" si="137">I292</f>
        <v>2495.502</v>
      </c>
      <c r="J291" s="108">
        <f t="shared" si="135"/>
        <v>70.694107648725208</v>
      </c>
    </row>
    <row r="292" spans="1:10" s="175" customFormat="1" x14ac:dyDescent="0.2">
      <c r="A292" s="103" t="s">
        <v>629</v>
      </c>
      <c r="B292" s="104" t="s">
        <v>78</v>
      </c>
      <c r="C292" s="104" t="s">
        <v>475</v>
      </c>
      <c r="D292" s="104" t="s">
        <v>238</v>
      </c>
      <c r="E292" s="113"/>
      <c r="F292" s="105">
        <f>F293</f>
        <v>5000</v>
      </c>
      <c r="G292" s="147">
        <f t="shared" si="136"/>
        <v>-1470</v>
      </c>
      <c r="H292" s="105">
        <f>H293</f>
        <v>3530</v>
      </c>
      <c r="I292" s="105">
        <f t="shared" si="137"/>
        <v>2495.502</v>
      </c>
      <c r="J292" s="105">
        <f t="shared" si="135"/>
        <v>70.694107648725208</v>
      </c>
    </row>
    <row r="293" spans="1:10" s="175" customFormat="1" x14ac:dyDescent="0.2">
      <c r="A293" s="133" t="s">
        <v>630</v>
      </c>
      <c r="B293" s="118" t="s">
        <v>78</v>
      </c>
      <c r="C293" s="118" t="s">
        <v>475</v>
      </c>
      <c r="D293" s="126" t="s">
        <v>631</v>
      </c>
      <c r="E293" s="118"/>
      <c r="F293" s="119">
        <f t="shared" ref="F293:I294" si="138">F294</f>
        <v>5000</v>
      </c>
      <c r="G293" s="147">
        <f t="shared" si="136"/>
        <v>-1470</v>
      </c>
      <c r="H293" s="119">
        <f t="shared" si="138"/>
        <v>3530</v>
      </c>
      <c r="I293" s="119">
        <f t="shared" si="138"/>
        <v>2495.502</v>
      </c>
      <c r="J293" s="119">
        <f t="shared" si="135"/>
        <v>70.694107648725208</v>
      </c>
    </row>
    <row r="294" spans="1:10" s="175" customFormat="1" x14ac:dyDescent="0.2">
      <c r="A294" s="112" t="s">
        <v>294</v>
      </c>
      <c r="B294" s="113" t="s">
        <v>78</v>
      </c>
      <c r="C294" s="113" t="s">
        <v>475</v>
      </c>
      <c r="D294" s="113" t="s">
        <v>631</v>
      </c>
      <c r="E294" s="113" t="s">
        <v>84</v>
      </c>
      <c r="F294" s="114">
        <f>F295</f>
        <v>5000</v>
      </c>
      <c r="G294" s="147">
        <f t="shared" si="136"/>
        <v>-1470</v>
      </c>
      <c r="H294" s="114">
        <f>H295</f>
        <v>3530</v>
      </c>
      <c r="I294" s="114">
        <f t="shared" si="138"/>
        <v>2495.502</v>
      </c>
      <c r="J294" s="114">
        <f t="shared" si="135"/>
        <v>70.694107648725208</v>
      </c>
    </row>
    <row r="295" spans="1:10" s="175" customFormat="1" x14ac:dyDescent="0.2">
      <c r="A295" s="112" t="s">
        <v>85</v>
      </c>
      <c r="B295" s="113" t="s">
        <v>78</v>
      </c>
      <c r="C295" s="113" t="s">
        <v>475</v>
      </c>
      <c r="D295" s="113" t="s">
        <v>631</v>
      </c>
      <c r="E295" s="113" t="s">
        <v>86</v>
      </c>
      <c r="F295" s="114">
        <v>5000</v>
      </c>
      <c r="G295" s="147">
        <f t="shared" si="136"/>
        <v>-1470</v>
      </c>
      <c r="H295" s="114">
        <f>5000-370-1100</f>
        <v>3530</v>
      </c>
      <c r="I295" s="114">
        <v>2495.502</v>
      </c>
      <c r="J295" s="114">
        <f t="shared" si="135"/>
        <v>70.694107648725208</v>
      </c>
    </row>
    <row r="296" spans="1:10" s="175" customFormat="1" ht="27" x14ac:dyDescent="0.2">
      <c r="A296" s="116" t="s">
        <v>672</v>
      </c>
      <c r="B296" s="107" t="s">
        <v>78</v>
      </c>
      <c r="C296" s="107" t="s">
        <v>475</v>
      </c>
      <c r="D296" s="107" t="s">
        <v>266</v>
      </c>
      <c r="E296" s="107"/>
      <c r="F296" s="108">
        <f>F300+F297</f>
        <v>3200</v>
      </c>
      <c r="G296" s="147">
        <f t="shared" si="136"/>
        <v>-1000</v>
      </c>
      <c r="H296" s="108">
        <f>H300+H297</f>
        <v>2200</v>
      </c>
      <c r="I296" s="108">
        <f t="shared" ref="I296" si="139">I300+I297</f>
        <v>1848.4590000000001</v>
      </c>
      <c r="J296" s="105">
        <f t="shared" si="135"/>
        <v>84.020863636363643</v>
      </c>
    </row>
    <row r="297" spans="1:10" s="175" customFormat="1" x14ac:dyDescent="0.2">
      <c r="A297" s="134" t="s">
        <v>136</v>
      </c>
      <c r="B297" s="104" t="s">
        <v>78</v>
      </c>
      <c r="C297" s="104" t="s">
        <v>475</v>
      </c>
      <c r="D297" s="104" t="s">
        <v>619</v>
      </c>
      <c r="E297" s="104"/>
      <c r="F297" s="105">
        <f>F298</f>
        <v>200</v>
      </c>
      <c r="G297" s="147">
        <f t="shared" si="136"/>
        <v>0</v>
      </c>
      <c r="H297" s="105">
        <f>H298</f>
        <v>200</v>
      </c>
      <c r="I297" s="287">
        <f t="shared" ref="I297:I298" si="140">I298</f>
        <v>0</v>
      </c>
      <c r="J297" s="287">
        <f t="shared" si="135"/>
        <v>0</v>
      </c>
    </row>
    <row r="298" spans="1:10" s="175" customFormat="1" x14ac:dyDescent="0.2">
      <c r="A298" s="112" t="s">
        <v>294</v>
      </c>
      <c r="B298" s="113" t="s">
        <v>78</v>
      </c>
      <c r="C298" s="113" t="s">
        <v>475</v>
      </c>
      <c r="D298" s="113" t="s">
        <v>619</v>
      </c>
      <c r="E298" s="113" t="s">
        <v>84</v>
      </c>
      <c r="F298" s="114">
        <f>F299</f>
        <v>200</v>
      </c>
      <c r="G298" s="147">
        <f t="shared" si="136"/>
        <v>0</v>
      </c>
      <c r="H298" s="114">
        <f>H299</f>
        <v>200</v>
      </c>
      <c r="I298" s="212">
        <f t="shared" si="140"/>
        <v>0</v>
      </c>
      <c r="J298" s="287">
        <f t="shared" si="135"/>
        <v>0</v>
      </c>
    </row>
    <row r="299" spans="1:10" s="175" customFormat="1" x14ac:dyDescent="0.2">
      <c r="A299" s="112" t="s">
        <v>85</v>
      </c>
      <c r="B299" s="113" t="s">
        <v>78</v>
      </c>
      <c r="C299" s="113" t="s">
        <v>475</v>
      </c>
      <c r="D299" s="113" t="s">
        <v>619</v>
      </c>
      <c r="E299" s="113" t="s">
        <v>86</v>
      </c>
      <c r="F299" s="114">
        <v>200</v>
      </c>
      <c r="G299" s="147">
        <f t="shared" si="136"/>
        <v>0</v>
      </c>
      <c r="H299" s="114">
        <v>200</v>
      </c>
      <c r="I299" s="212">
        <v>0</v>
      </c>
      <c r="J299" s="287">
        <f t="shared" si="135"/>
        <v>0</v>
      </c>
    </row>
    <row r="300" spans="1:10" s="175" customFormat="1" x14ac:dyDescent="0.2">
      <c r="A300" s="103" t="s">
        <v>222</v>
      </c>
      <c r="B300" s="104" t="s">
        <v>78</v>
      </c>
      <c r="C300" s="104" t="s">
        <v>475</v>
      </c>
      <c r="D300" s="104" t="s">
        <v>618</v>
      </c>
      <c r="E300" s="104"/>
      <c r="F300" s="105">
        <f>F301</f>
        <v>3000</v>
      </c>
      <c r="G300" s="147">
        <f t="shared" si="136"/>
        <v>-1000</v>
      </c>
      <c r="H300" s="105">
        <f>H301</f>
        <v>2000</v>
      </c>
      <c r="I300" s="105">
        <f t="shared" ref="I300:I301" si="141">I301</f>
        <v>1848.4590000000001</v>
      </c>
      <c r="J300" s="105">
        <f t="shared" si="135"/>
        <v>92.42295</v>
      </c>
    </row>
    <row r="301" spans="1:10" s="175" customFormat="1" x14ac:dyDescent="0.2">
      <c r="A301" s="112" t="s">
        <v>294</v>
      </c>
      <c r="B301" s="113" t="s">
        <v>78</v>
      </c>
      <c r="C301" s="113" t="s">
        <v>475</v>
      </c>
      <c r="D301" s="113" t="s">
        <v>618</v>
      </c>
      <c r="E301" s="113" t="s">
        <v>84</v>
      </c>
      <c r="F301" s="114">
        <f>F302</f>
        <v>3000</v>
      </c>
      <c r="G301" s="147">
        <f t="shared" si="136"/>
        <v>-1000</v>
      </c>
      <c r="H301" s="114">
        <f>H302</f>
        <v>2000</v>
      </c>
      <c r="I301" s="114">
        <f t="shared" si="141"/>
        <v>1848.4590000000001</v>
      </c>
      <c r="J301" s="114">
        <f t="shared" si="135"/>
        <v>92.42295</v>
      </c>
    </row>
    <row r="302" spans="1:10" s="175" customFormat="1" x14ac:dyDescent="0.2">
      <c r="A302" s="112" t="s">
        <v>85</v>
      </c>
      <c r="B302" s="113" t="s">
        <v>78</v>
      </c>
      <c r="C302" s="113" t="s">
        <v>475</v>
      </c>
      <c r="D302" s="113" t="s">
        <v>618</v>
      </c>
      <c r="E302" s="113" t="s">
        <v>86</v>
      </c>
      <c r="F302" s="114">
        <v>3000</v>
      </c>
      <c r="G302" s="147">
        <f t="shared" si="136"/>
        <v>-1000</v>
      </c>
      <c r="H302" s="114">
        <f>3000-962-38</f>
        <v>2000</v>
      </c>
      <c r="I302" s="114">
        <v>1848.4590000000001</v>
      </c>
      <c r="J302" s="114">
        <f t="shared" si="135"/>
        <v>92.42295</v>
      </c>
    </row>
    <row r="303" spans="1:10" s="175" customFormat="1" x14ac:dyDescent="0.2">
      <c r="A303" s="138" t="s">
        <v>74</v>
      </c>
      <c r="B303" s="118" t="s">
        <v>78</v>
      </c>
      <c r="C303" s="118" t="s">
        <v>475</v>
      </c>
      <c r="D303" s="118" t="s">
        <v>209</v>
      </c>
      <c r="E303" s="118"/>
      <c r="F303" s="119" t="e">
        <f>F304</f>
        <v>#REF!</v>
      </c>
      <c r="G303" s="147" t="e">
        <f t="shared" si="136"/>
        <v>#REF!</v>
      </c>
      <c r="H303" s="119">
        <f>H304</f>
        <v>6960</v>
      </c>
      <c r="I303" s="119">
        <f t="shared" ref="I303" si="142">I304</f>
        <v>6103.1149999999998</v>
      </c>
      <c r="J303" s="119">
        <f t="shared" si="135"/>
        <v>87.688433908045965</v>
      </c>
    </row>
    <row r="304" spans="1:10" s="175" customFormat="1" x14ac:dyDescent="0.2">
      <c r="A304" s="103" t="s">
        <v>297</v>
      </c>
      <c r="B304" s="104" t="s">
        <v>78</v>
      </c>
      <c r="C304" s="104" t="s">
        <v>475</v>
      </c>
      <c r="D304" s="104" t="s">
        <v>210</v>
      </c>
      <c r="E304" s="104"/>
      <c r="F304" s="105" t="e">
        <f>F305+#REF!+F308</f>
        <v>#REF!</v>
      </c>
      <c r="G304" s="147" t="e">
        <f t="shared" si="136"/>
        <v>#REF!</v>
      </c>
      <c r="H304" s="105">
        <f>H305+H308+H311</f>
        <v>6960</v>
      </c>
      <c r="I304" s="105">
        <f t="shared" ref="I304" si="143">I305+I308+I311</f>
        <v>6103.1149999999998</v>
      </c>
      <c r="J304" s="105">
        <f t="shared" si="135"/>
        <v>87.688433908045965</v>
      </c>
    </row>
    <row r="305" spans="1:10" s="175" customFormat="1" x14ac:dyDescent="0.2">
      <c r="A305" s="103" t="s">
        <v>484</v>
      </c>
      <c r="B305" s="104" t="s">
        <v>78</v>
      </c>
      <c r="C305" s="104" t="s">
        <v>475</v>
      </c>
      <c r="D305" s="104" t="s">
        <v>560</v>
      </c>
      <c r="E305" s="104"/>
      <c r="F305" s="127">
        <v>1000</v>
      </c>
      <c r="G305" s="147">
        <f t="shared" si="136"/>
        <v>4000</v>
      </c>
      <c r="H305" s="127">
        <f>H306</f>
        <v>5000</v>
      </c>
      <c r="I305" s="127">
        <f t="shared" ref="I305:I306" si="144">I306</f>
        <v>4999.99</v>
      </c>
      <c r="J305" s="105">
        <f t="shared" si="135"/>
        <v>99.999799999999993</v>
      </c>
    </row>
    <row r="306" spans="1:10" s="175" customFormat="1" x14ac:dyDescent="0.2">
      <c r="A306" s="112" t="s">
        <v>294</v>
      </c>
      <c r="B306" s="113" t="s">
        <v>78</v>
      </c>
      <c r="C306" s="113" t="s">
        <v>475</v>
      </c>
      <c r="D306" s="113" t="s">
        <v>560</v>
      </c>
      <c r="E306" s="130">
        <v>200</v>
      </c>
      <c r="F306" s="128">
        <v>1000</v>
      </c>
      <c r="G306" s="147">
        <f t="shared" si="136"/>
        <v>4000</v>
      </c>
      <c r="H306" s="128">
        <f>H307</f>
        <v>5000</v>
      </c>
      <c r="I306" s="128">
        <f t="shared" si="144"/>
        <v>4999.99</v>
      </c>
      <c r="J306" s="114">
        <f t="shared" si="135"/>
        <v>99.999799999999993</v>
      </c>
    </row>
    <row r="307" spans="1:10" s="175" customFormat="1" x14ac:dyDescent="0.2">
      <c r="A307" s="112" t="s">
        <v>85</v>
      </c>
      <c r="B307" s="113" t="s">
        <v>78</v>
      </c>
      <c r="C307" s="113" t="s">
        <v>475</v>
      </c>
      <c r="D307" s="113" t="s">
        <v>560</v>
      </c>
      <c r="E307" s="113" t="s">
        <v>86</v>
      </c>
      <c r="F307" s="128">
        <v>1000</v>
      </c>
      <c r="G307" s="147">
        <f t="shared" si="136"/>
        <v>4000</v>
      </c>
      <c r="H307" s="128">
        <f>1000+4000</f>
        <v>5000</v>
      </c>
      <c r="I307" s="128">
        <v>4999.99</v>
      </c>
      <c r="J307" s="114">
        <f t="shared" si="135"/>
        <v>99.999799999999993</v>
      </c>
    </row>
    <row r="308" spans="1:10" s="175" customFormat="1" x14ac:dyDescent="0.2">
      <c r="A308" s="136" t="s">
        <v>341</v>
      </c>
      <c r="B308" s="132" t="s">
        <v>78</v>
      </c>
      <c r="C308" s="132" t="s">
        <v>475</v>
      </c>
      <c r="D308" s="132" t="s">
        <v>654</v>
      </c>
      <c r="E308" s="132"/>
      <c r="F308" s="137">
        <v>1000</v>
      </c>
      <c r="G308" s="147">
        <f t="shared" si="136"/>
        <v>-40</v>
      </c>
      <c r="H308" s="137">
        <f>H309</f>
        <v>960</v>
      </c>
      <c r="I308" s="137">
        <f t="shared" ref="I308:I309" si="145">I309</f>
        <v>103.125</v>
      </c>
      <c r="J308" s="137">
        <f t="shared" si="135"/>
        <v>10.7421875</v>
      </c>
    </row>
    <row r="309" spans="1:10" s="175" customFormat="1" x14ac:dyDescent="0.2">
      <c r="A309" s="112" t="s">
        <v>294</v>
      </c>
      <c r="B309" s="113" t="s">
        <v>78</v>
      </c>
      <c r="C309" s="113" t="s">
        <v>475</v>
      </c>
      <c r="D309" s="113" t="s">
        <v>654</v>
      </c>
      <c r="E309" s="130">
        <v>200</v>
      </c>
      <c r="F309" s="114">
        <v>1000</v>
      </c>
      <c r="G309" s="147">
        <f t="shared" si="136"/>
        <v>-40</v>
      </c>
      <c r="H309" s="114">
        <f>H310</f>
        <v>960</v>
      </c>
      <c r="I309" s="114">
        <f t="shared" si="145"/>
        <v>103.125</v>
      </c>
      <c r="J309" s="114">
        <f t="shared" si="135"/>
        <v>10.7421875</v>
      </c>
    </row>
    <row r="310" spans="1:10" s="175" customFormat="1" x14ac:dyDescent="0.2">
      <c r="A310" s="112" t="s">
        <v>85</v>
      </c>
      <c r="B310" s="113" t="s">
        <v>78</v>
      </c>
      <c r="C310" s="113" t="s">
        <v>475</v>
      </c>
      <c r="D310" s="113" t="s">
        <v>654</v>
      </c>
      <c r="E310" s="113" t="s">
        <v>86</v>
      </c>
      <c r="F310" s="114">
        <v>1000</v>
      </c>
      <c r="G310" s="147">
        <f t="shared" si="136"/>
        <v>-40</v>
      </c>
      <c r="H310" s="114">
        <f>1000-40</f>
        <v>960</v>
      </c>
      <c r="I310" s="114">
        <v>103.125</v>
      </c>
      <c r="J310" s="114">
        <f t="shared" si="135"/>
        <v>10.7421875</v>
      </c>
    </row>
    <row r="311" spans="1:10" s="175" customFormat="1" x14ac:dyDescent="0.2">
      <c r="A311" s="103" t="s">
        <v>717</v>
      </c>
      <c r="B311" s="104" t="s">
        <v>78</v>
      </c>
      <c r="C311" s="104" t="s">
        <v>475</v>
      </c>
      <c r="D311" s="104" t="s">
        <v>718</v>
      </c>
      <c r="E311" s="104"/>
      <c r="F311" s="114"/>
      <c r="G311" s="147"/>
      <c r="H311" s="105">
        <f>H312</f>
        <v>1000</v>
      </c>
      <c r="I311" s="105">
        <f t="shared" ref="I311:I312" si="146">I312</f>
        <v>1000</v>
      </c>
      <c r="J311" s="105">
        <f t="shared" si="135"/>
        <v>100</v>
      </c>
    </row>
    <row r="312" spans="1:10" s="175" customFormat="1" x14ac:dyDescent="0.2">
      <c r="A312" s="112" t="s">
        <v>95</v>
      </c>
      <c r="B312" s="113" t="s">
        <v>78</v>
      </c>
      <c r="C312" s="113" t="s">
        <v>475</v>
      </c>
      <c r="D312" s="113" t="s">
        <v>718</v>
      </c>
      <c r="E312" s="113" t="s">
        <v>94</v>
      </c>
      <c r="F312" s="114"/>
      <c r="G312" s="147"/>
      <c r="H312" s="114">
        <f>H313</f>
        <v>1000</v>
      </c>
      <c r="I312" s="114">
        <f t="shared" si="146"/>
        <v>1000</v>
      </c>
      <c r="J312" s="114">
        <f t="shared" si="135"/>
        <v>100</v>
      </c>
    </row>
    <row r="313" spans="1:10" s="175" customFormat="1" x14ac:dyDescent="0.2">
      <c r="A313" s="112" t="s">
        <v>676</v>
      </c>
      <c r="B313" s="113" t="s">
        <v>78</v>
      </c>
      <c r="C313" s="113" t="s">
        <v>475</v>
      </c>
      <c r="D313" s="113" t="s">
        <v>718</v>
      </c>
      <c r="E313" s="113" t="s">
        <v>656</v>
      </c>
      <c r="F313" s="114"/>
      <c r="G313" s="147"/>
      <c r="H313" s="114">
        <v>1000</v>
      </c>
      <c r="I313" s="114">
        <v>1000</v>
      </c>
      <c r="J313" s="114">
        <f t="shared" si="135"/>
        <v>100</v>
      </c>
    </row>
    <row r="314" spans="1:10" s="115" customFormat="1" x14ac:dyDescent="0.2">
      <c r="A314" s="103" t="s">
        <v>358</v>
      </c>
      <c r="B314" s="104" t="s">
        <v>416</v>
      </c>
      <c r="C314" s="104" t="s">
        <v>77</v>
      </c>
      <c r="D314" s="104"/>
      <c r="E314" s="143"/>
      <c r="F314" s="127" t="e">
        <f>F315+F366+F394+F465</f>
        <v>#REF!</v>
      </c>
      <c r="G314" s="147" t="e">
        <f t="shared" si="136"/>
        <v>#REF!</v>
      </c>
      <c r="H314" s="127">
        <f>H315+H366+H394+H465</f>
        <v>1047941.7780699999</v>
      </c>
      <c r="I314" s="147">
        <f t="shared" ref="I314" si="147">I315+I366+I394+I465</f>
        <v>980870.27285000018</v>
      </c>
      <c r="J314" s="105">
        <f t="shared" si="135"/>
        <v>93.599691640930132</v>
      </c>
    </row>
    <row r="315" spans="1:10" s="174" customFormat="1" x14ac:dyDescent="0.2">
      <c r="A315" s="103" t="s">
        <v>359</v>
      </c>
      <c r="B315" s="104" t="s">
        <v>416</v>
      </c>
      <c r="C315" s="104" t="s">
        <v>76</v>
      </c>
      <c r="D315" s="118"/>
      <c r="E315" s="118"/>
      <c r="F315" s="105">
        <f>F316+F350</f>
        <v>61095</v>
      </c>
      <c r="G315" s="147">
        <f t="shared" si="136"/>
        <v>76492.554510000016</v>
      </c>
      <c r="H315" s="105">
        <f>H316+H350</f>
        <v>137587.55451000002</v>
      </c>
      <c r="I315" s="105">
        <f t="shared" ref="I315" si="148">I316+I350</f>
        <v>125379.86048</v>
      </c>
      <c r="J315" s="105">
        <f t="shared" si="135"/>
        <v>91.127326833101947</v>
      </c>
    </row>
    <row r="316" spans="1:10" s="174" customFormat="1" ht="27" x14ac:dyDescent="0.2">
      <c r="A316" s="116" t="s">
        <v>677</v>
      </c>
      <c r="B316" s="107" t="s">
        <v>416</v>
      </c>
      <c r="C316" s="107" t="s">
        <v>76</v>
      </c>
      <c r="D316" s="107" t="s">
        <v>237</v>
      </c>
      <c r="E316" s="118"/>
      <c r="F316" s="108">
        <f>F317+F327+F337</f>
        <v>45795</v>
      </c>
      <c r="G316" s="147">
        <f t="shared" si="136"/>
        <v>19562.30672</v>
      </c>
      <c r="H316" s="108">
        <f>H317+H327+H337</f>
        <v>65357.30672</v>
      </c>
      <c r="I316" s="108">
        <f t="shared" ref="I316" si="149">I317+I327+I337</f>
        <v>54253.535479999999</v>
      </c>
      <c r="J316" s="108">
        <f t="shared" si="135"/>
        <v>83.010665834854336</v>
      </c>
    </row>
    <row r="317" spans="1:10" s="174" customFormat="1" x14ac:dyDescent="0.2">
      <c r="A317" s="103" t="s">
        <v>59</v>
      </c>
      <c r="B317" s="104" t="s">
        <v>416</v>
      </c>
      <c r="C317" s="104" t="s">
        <v>76</v>
      </c>
      <c r="D317" s="104" t="s">
        <v>239</v>
      </c>
      <c r="E317" s="104"/>
      <c r="F317" s="105">
        <f>F318+F321+F324</f>
        <v>9500</v>
      </c>
      <c r="G317" s="147">
        <f t="shared" si="136"/>
        <v>1000</v>
      </c>
      <c r="H317" s="105">
        <f>H318+H321+H324</f>
        <v>10500</v>
      </c>
      <c r="I317" s="105">
        <f t="shared" ref="I317" si="150">I318+I321+I324</f>
        <v>7666.9549999999999</v>
      </c>
      <c r="J317" s="105">
        <f t="shared" si="135"/>
        <v>73.018619047619055</v>
      </c>
    </row>
    <row r="318" spans="1:10" s="174" customFormat="1" x14ac:dyDescent="0.2">
      <c r="A318" s="117" t="s">
        <v>720</v>
      </c>
      <c r="B318" s="118" t="s">
        <v>416</v>
      </c>
      <c r="C318" s="118" t="s">
        <v>76</v>
      </c>
      <c r="D318" s="118" t="s">
        <v>632</v>
      </c>
      <c r="E318" s="118"/>
      <c r="F318" s="129">
        <f>F319</f>
        <v>5000</v>
      </c>
      <c r="G318" s="147">
        <f t="shared" si="136"/>
        <v>0</v>
      </c>
      <c r="H318" s="129">
        <f>H319</f>
        <v>5000</v>
      </c>
      <c r="I318" s="129">
        <f t="shared" ref="I318:I319" si="151">I319</f>
        <v>4925.3090000000002</v>
      </c>
      <c r="J318" s="119">
        <f t="shared" si="135"/>
        <v>98.506180000000001</v>
      </c>
    </row>
    <row r="319" spans="1:10" s="174" customFormat="1" x14ac:dyDescent="0.2">
      <c r="A319" s="112" t="s">
        <v>294</v>
      </c>
      <c r="B319" s="113" t="s">
        <v>416</v>
      </c>
      <c r="C319" s="113" t="s">
        <v>76</v>
      </c>
      <c r="D319" s="113" t="s">
        <v>632</v>
      </c>
      <c r="E319" s="113" t="s">
        <v>84</v>
      </c>
      <c r="F319" s="128">
        <f>F320</f>
        <v>5000</v>
      </c>
      <c r="G319" s="147">
        <f t="shared" si="136"/>
        <v>0</v>
      </c>
      <c r="H319" s="128">
        <f>H320</f>
        <v>5000</v>
      </c>
      <c r="I319" s="128">
        <f t="shared" si="151"/>
        <v>4925.3090000000002</v>
      </c>
      <c r="J319" s="114">
        <f t="shared" si="135"/>
        <v>98.506180000000001</v>
      </c>
    </row>
    <row r="320" spans="1:10" s="174" customFormat="1" x14ac:dyDescent="0.2">
      <c r="A320" s="112" t="s">
        <v>85</v>
      </c>
      <c r="B320" s="113" t="s">
        <v>416</v>
      </c>
      <c r="C320" s="113" t="s">
        <v>76</v>
      </c>
      <c r="D320" s="113" t="s">
        <v>632</v>
      </c>
      <c r="E320" s="113" t="s">
        <v>86</v>
      </c>
      <c r="F320" s="128">
        <v>5000</v>
      </c>
      <c r="G320" s="147">
        <f t="shared" si="136"/>
        <v>0</v>
      </c>
      <c r="H320" s="128">
        <v>5000</v>
      </c>
      <c r="I320" s="128">
        <v>4925.3090000000002</v>
      </c>
      <c r="J320" s="114">
        <f t="shared" si="135"/>
        <v>98.506180000000001</v>
      </c>
    </row>
    <row r="321" spans="1:10" s="174" customFormat="1" x14ac:dyDescent="0.2">
      <c r="A321" s="117" t="s">
        <v>633</v>
      </c>
      <c r="B321" s="118" t="s">
        <v>416</v>
      </c>
      <c r="C321" s="118" t="s">
        <v>76</v>
      </c>
      <c r="D321" s="118" t="s">
        <v>634</v>
      </c>
      <c r="E321" s="118"/>
      <c r="F321" s="129">
        <f>F322</f>
        <v>500</v>
      </c>
      <c r="G321" s="147">
        <f t="shared" si="136"/>
        <v>1000</v>
      </c>
      <c r="H321" s="129">
        <f>H322</f>
        <v>1500</v>
      </c>
      <c r="I321" s="129">
        <f t="shared" ref="I321:I322" si="152">I322</f>
        <v>1480.2239999999999</v>
      </c>
      <c r="J321" s="119">
        <f t="shared" si="135"/>
        <v>98.681599999999989</v>
      </c>
    </row>
    <row r="322" spans="1:10" s="174" customFormat="1" x14ac:dyDescent="0.2">
      <c r="A322" s="112" t="s">
        <v>294</v>
      </c>
      <c r="B322" s="113" t="s">
        <v>416</v>
      </c>
      <c r="C322" s="113" t="s">
        <v>76</v>
      </c>
      <c r="D322" s="113" t="s">
        <v>634</v>
      </c>
      <c r="E322" s="113" t="s">
        <v>84</v>
      </c>
      <c r="F322" s="128">
        <f>F323</f>
        <v>500</v>
      </c>
      <c r="G322" s="147">
        <f t="shared" si="136"/>
        <v>1000</v>
      </c>
      <c r="H322" s="128">
        <f>H323</f>
        <v>1500</v>
      </c>
      <c r="I322" s="128">
        <f t="shared" si="152"/>
        <v>1480.2239999999999</v>
      </c>
      <c r="J322" s="114">
        <f t="shared" si="135"/>
        <v>98.681599999999989</v>
      </c>
    </row>
    <row r="323" spans="1:10" s="174" customFormat="1" x14ac:dyDescent="0.2">
      <c r="A323" s="112" t="s">
        <v>85</v>
      </c>
      <c r="B323" s="113" t="s">
        <v>416</v>
      </c>
      <c r="C323" s="113" t="s">
        <v>76</v>
      </c>
      <c r="D323" s="113" t="s">
        <v>634</v>
      </c>
      <c r="E323" s="113" t="s">
        <v>86</v>
      </c>
      <c r="F323" s="128">
        <v>500</v>
      </c>
      <c r="G323" s="147">
        <f t="shared" si="136"/>
        <v>1000</v>
      </c>
      <c r="H323" s="128">
        <f>500+1000</f>
        <v>1500</v>
      </c>
      <c r="I323" s="128">
        <v>1480.2239999999999</v>
      </c>
      <c r="J323" s="114">
        <f t="shared" si="135"/>
        <v>98.681599999999989</v>
      </c>
    </row>
    <row r="324" spans="1:10" s="174" customFormat="1" x14ac:dyDescent="0.2">
      <c r="A324" s="117" t="s">
        <v>240</v>
      </c>
      <c r="B324" s="118" t="s">
        <v>416</v>
      </c>
      <c r="C324" s="118" t="s">
        <v>76</v>
      </c>
      <c r="D324" s="118" t="s">
        <v>635</v>
      </c>
      <c r="E324" s="118"/>
      <c r="F324" s="129">
        <f>F325</f>
        <v>4000</v>
      </c>
      <c r="G324" s="147">
        <f t="shared" si="136"/>
        <v>0</v>
      </c>
      <c r="H324" s="129">
        <f>H325</f>
        <v>4000</v>
      </c>
      <c r="I324" s="129">
        <f t="shared" ref="I324:I325" si="153">I325</f>
        <v>1261.422</v>
      </c>
      <c r="J324" s="119">
        <f t="shared" si="135"/>
        <v>31.535550000000001</v>
      </c>
    </row>
    <row r="325" spans="1:10" s="174" customFormat="1" x14ac:dyDescent="0.2">
      <c r="A325" s="112" t="s">
        <v>294</v>
      </c>
      <c r="B325" s="113" t="s">
        <v>416</v>
      </c>
      <c r="C325" s="113" t="s">
        <v>76</v>
      </c>
      <c r="D325" s="113" t="s">
        <v>635</v>
      </c>
      <c r="E325" s="113" t="s">
        <v>84</v>
      </c>
      <c r="F325" s="128">
        <f>F326</f>
        <v>4000</v>
      </c>
      <c r="G325" s="147">
        <f t="shared" si="136"/>
        <v>0</v>
      </c>
      <c r="H325" s="128">
        <f>H326</f>
        <v>4000</v>
      </c>
      <c r="I325" s="128">
        <f t="shared" si="153"/>
        <v>1261.422</v>
      </c>
      <c r="J325" s="114">
        <f t="shared" si="135"/>
        <v>31.535550000000001</v>
      </c>
    </row>
    <row r="326" spans="1:10" s="174" customFormat="1" x14ac:dyDescent="0.2">
      <c r="A326" s="112" t="s">
        <v>85</v>
      </c>
      <c r="B326" s="113" t="s">
        <v>416</v>
      </c>
      <c r="C326" s="113" t="s">
        <v>76</v>
      </c>
      <c r="D326" s="113" t="s">
        <v>635</v>
      </c>
      <c r="E326" s="113" t="s">
        <v>86</v>
      </c>
      <c r="F326" s="128">
        <v>4000</v>
      </c>
      <c r="G326" s="147">
        <f t="shared" si="136"/>
        <v>0</v>
      </c>
      <c r="H326" s="128">
        <v>4000</v>
      </c>
      <c r="I326" s="128">
        <v>1261.422</v>
      </c>
      <c r="J326" s="114">
        <f t="shared" si="135"/>
        <v>31.535550000000001</v>
      </c>
    </row>
    <row r="327" spans="1:10" s="174" customFormat="1" x14ac:dyDescent="0.2">
      <c r="A327" s="103" t="s">
        <v>490</v>
      </c>
      <c r="B327" s="104" t="s">
        <v>416</v>
      </c>
      <c r="C327" s="104" t="s">
        <v>76</v>
      </c>
      <c r="D327" s="104" t="s">
        <v>491</v>
      </c>
      <c r="E327" s="113"/>
      <c r="F327" s="105">
        <f>F328+F331+F334</f>
        <v>8300</v>
      </c>
      <c r="G327" s="147">
        <f t="shared" si="136"/>
        <v>9100</v>
      </c>
      <c r="H327" s="105">
        <f>H328+H331+H334</f>
        <v>17400</v>
      </c>
      <c r="I327" s="105">
        <f t="shared" ref="I327" si="154">I328+I331+I334</f>
        <v>16083.200999999999</v>
      </c>
      <c r="J327" s="105">
        <f t="shared" si="135"/>
        <v>92.432189655172408</v>
      </c>
    </row>
    <row r="328" spans="1:10" s="174" customFormat="1" ht="24" x14ac:dyDescent="0.2">
      <c r="A328" s="117" t="s">
        <v>640</v>
      </c>
      <c r="B328" s="118" t="s">
        <v>416</v>
      </c>
      <c r="C328" s="118" t="s">
        <v>76</v>
      </c>
      <c r="D328" s="118" t="s">
        <v>641</v>
      </c>
      <c r="E328" s="118"/>
      <c r="F328" s="119">
        <f>F329</f>
        <v>1000</v>
      </c>
      <c r="G328" s="147">
        <f t="shared" si="136"/>
        <v>-300</v>
      </c>
      <c r="H328" s="119">
        <f>H329</f>
        <v>700</v>
      </c>
      <c r="I328" s="288">
        <f t="shared" ref="I328:I329" si="155">I329</f>
        <v>0</v>
      </c>
      <c r="J328" s="287">
        <f t="shared" si="135"/>
        <v>0</v>
      </c>
    </row>
    <row r="329" spans="1:10" s="174" customFormat="1" x14ac:dyDescent="0.2">
      <c r="A329" s="112" t="s">
        <v>294</v>
      </c>
      <c r="B329" s="113" t="s">
        <v>416</v>
      </c>
      <c r="C329" s="113" t="s">
        <v>76</v>
      </c>
      <c r="D329" s="113" t="s">
        <v>641</v>
      </c>
      <c r="E329" s="113" t="s">
        <v>84</v>
      </c>
      <c r="F329" s="114">
        <f>F330</f>
        <v>1000</v>
      </c>
      <c r="G329" s="147">
        <f t="shared" si="136"/>
        <v>-300</v>
      </c>
      <c r="H329" s="114">
        <f>H330</f>
        <v>700</v>
      </c>
      <c r="I329" s="212">
        <f t="shared" si="155"/>
        <v>0</v>
      </c>
      <c r="J329" s="287">
        <f t="shared" si="135"/>
        <v>0</v>
      </c>
    </row>
    <row r="330" spans="1:10" s="174" customFormat="1" x14ac:dyDescent="0.2">
      <c r="A330" s="112" t="s">
        <v>85</v>
      </c>
      <c r="B330" s="113" t="s">
        <v>416</v>
      </c>
      <c r="C330" s="113" t="s">
        <v>76</v>
      </c>
      <c r="D330" s="113" t="s">
        <v>641</v>
      </c>
      <c r="E330" s="113" t="s">
        <v>86</v>
      </c>
      <c r="F330" s="114">
        <v>1000</v>
      </c>
      <c r="G330" s="147">
        <f t="shared" si="136"/>
        <v>-300</v>
      </c>
      <c r="H330" s="114">
        <f>1000-300</f>
        <v>700</v>
      </c>
      <c r="I330" s="212">
        <v>0</v>
      </c>
      <c r="J330" s="287">
        <f t="shared" si="135"/>
        <v>0</v>
      </c>
    </row>
    <row r="331" spans="1:10" s="174" customFormat="1" ht="24" x14ac:dyDescent="0.2">
      <c r="A331" s="121" t="s">
        <v>492</v>
      </c>
      <c r="B331" s="118" t="s">
        <v>416</v>
      </c>
      <c r="C331" s="118" t="s">
        <v>76</v>
      </c>
      <c r="D331" s="118" t="s">
        <v>642</v>
      </c>
      <c r="E331" s="118"/>
      <c r="F331" s="119">
        <f>F332</f>
        <v>300</v>
      </c>
      <c r="G331" s="147">
        <f t="shared" si="136"/>
        <v>300</v>
      </c>
      <c r="H331" s="119">
        <f>H332</f>
        <v>600</v>
      </c>
      <c r="I331" s="119">
        <f t="shared" ref="I331:I332" si="156">I332</f>
        <v>238</v>
      </c>
      <c r="J331" s="119">
        <f t="shared" si="135"/>
        <v>39.666666666666664</v>
      </c>
    </row>
    <row r="332" spans="1:10" s="174" customFormat="1" x14ac:dyDescent="0.2">
      <c r="A332" s="112" t="s">
        <v>294</v>
      </c>
      <c r="B332" s="113" t="s">
        <v>416</v>
      </c>
      <c r="C332" s="113" t="s">
        <v>76</v>
      </c>
      <c r="D332" s="113" t="s">
        <v>642</v>
      </c>
      <c r="E332" s="113" t="s">
        <v>84</v>
      </c>
      <c r="F332" s="114">
        <f>F333</f>
        <v>300</v>
      </c>
      <c r="G332" s="147">
        <f t="shared" si="136"/>
        <v>300</v>
      </c>
      <c r="H332" s="114">
        <f>H333</f>
        <v>600</v>
      </c>
      <c r="I332" s="114">
        <f t="shared" si="156"/>
        <v>238</v>
      </c>
      <c r="J332" s="114">
        <f t="shared" si="135"/>
        <v>39.666666666666664</v>
      </c>
    </row>
    <row r="333" spans="1:10" s="174" customFormat="1" x14ac:dyDescent="0.2">
      <c r="A333" s="112" t="s">
        <v>85</v>
      </c>
      <c r="B333" s="113" t="s">
        <v>416</v>
      </c>
      <c r="C333" s="113" t="s">
        <v>76</v>
      </c>
      <c r="D333" s="113" t="s">
        <v>642</v>
      </c>
      <c r="E333" s="113" t="s">
        <v>86</v>
      </c>
      <c r="F333" s="114">
        <v>300</v>
      </c>
      <c r="G333" s="147">
        <f t="shared" si="136"/>
        <v>300</v>
      </c>
      <c r="H333" s="114">
        <f>300+300</f>
        <v>600</v>
      </c>
      <c r="I333" s="114">
        <v>238</v>
      </c>
      <c r="J333" s="114">
        <f t="shared" si="135"/>
        <v>39.666666666666664</v>
      </c>
    </row>
    <row r="334" spans="1:10" s="174" customFormat="1" x14ac:dyDescent="0.2">
      <c r="A334" s="121" t="s">
        <v>241</v>
      </c>
      <c r="B334" s="118" t="s">
        <v>416</v>
      </c>
      <c r="C334" s="118" t="s">
        <v>76</v>
      </c>
      <c r="D334" s="126" t="s">
        <v>643</v>
      </c>
      <c r="E334" s="118"/>
      <c r="F334" s="119">
        <f>F335</f>
        <v>7000</v>
      </c>
      <c r="G334" s="147">
        <f t="shared" si="136"/>
        <v>9100</v>
      </c>
      <c r="H334" s="119">
        <f>H335</f>
        <v>16100</v>
      </c>
      <c r="I334" s="119">
        <f t="shared" ref="I334:I335" si="157">I335</f>
        <v>15845.200999999999</v>
      </c>
      <c r="J334" s="119">
        <f t="shared" si="135"/>
        <v>98.417397515527952</v>
      </c>
    </row>
    <row r="335" spans="1:10" s="174" customFormat="1" x14ac:dyDescent="0.2">
      <c r="A335" s="112" t="s">
        <v>294</v>
      </c>
      <c r="B335" s="113" t="s">
        <v>416</v>
      </c>
      <c r="C335" s="113" t="s">
        <v>76</v>
      </c>
      <c r="D335" s="113" t="s">
        <v>643</v>
      </c>
      <c r="E335" s="113" t="s">
        <v>84</v>
      </c>
      <c r="F335" s="114">
        <f>F336</f>
        <v>7000</v>
      </c>
      <c r="G335" s="147">
        <f t="shared" si="136"/>
        <v>9100</v>
      </c>
      <c r="H335" s="114">
        <f>H336</f>
        <v>16100</v>
      </c>
      <c r="I335" s="114">
        <f t="shared" si="157"/>
        <v>15845.200999999999</v>
      </c>
      <c r="J335" s="114">
        <f t="shared" si="135"/>
        <v>98.417397515527952</v>
      </c>
    </row>
    <row r="336" spans="1:10" s="174" customFormat="1" x14ac:dyDescent="0.2">
      <c r="A336" s="112" t="s">
        <v>85</v>
      </c>
      <c r="B336" s="113" t="s">
        <v>416</v>
      </c>
      <c r="C336" s="113" t="s">
        <v>76</v>
      </c>
      <c r="D336" s="113" t="s">
        <v>643</v>
      </c>
      <c r="E336" s="113" t="s">
        <v>86</v>
      </c>
      <c r="F336" s="114">
        <v>7000</v>
      </c>
      <c r="G336" s="147">
        <f t="shared" si="136"/>
        <v>9100</v>
      </c>
      <c r="H336" s="114">
        <f>7000+9100</f>
        <v>16100</v>
      </c>
      <c r="I336" s="114">
        <v>15845.200999999999</v>
      </c>
      <c r="J336" s="114">
        <f t="shared" si="135"/>
        <v>98.417397515527952</v>
      </c>
    </row>
    <row r="337" spans="1:10" s="174" customFormat="1" x14ac:dyDescent="0.2">
      <c r="A337" s="103" t="s">
        <v>150</v>
      </c>
      <c r="B337" s="104" t="s">
        <v>416</v>
      </c>
      <c r="C337" s="104" t="s">
        <v>76</v>
      </c>
      <c r="D337" s="104" t="s">
        <v>126</v>
      </c>
      <c r="E337" s="113"/>
      <c r="F337" s="105">
        <f>F344+F347</f>
        <v>27995</v>
      </c>
      <c r="G337" s="147">
        <f t="shared" si="136"/>
        <v>9462.3067200000005</v>
      </c>
      <c r="H337" s="105">
        <f>H344+H347+H338+H341</f>
        <v>37457.30672</v>
      </c>
      <c r="I337" s="105">
        <f t="shared" ref="I337" si="158">I344+I347+I338+I341</f>
        <v>30503.37948</v>
      </c>
      <c r="J337" s="105">
        <f t="shared" si="135"/>
        <v>81.435058072963344</v>
      </c>
    </row>
    <row r="338" spans="1:10" s="174" customFormat="1" ht="48" x14ac:dyDescent="0.2">
      <c r="A338" s="133" t="s">
        <v>727</v>
      </c>
      <c r="B338" s="118" t="s">
        <v>416</v>
      </c>
      <c r="C338" s="118" t="s">
        <v>76</v>
      </c>
      <c r="D338" s="118" t="s">
        <v>742</v>
      </c>
      <c r="E338" s="118"/>
      <c r="F338" s="105"/>
      <c r="G338" s="147"/>
      <c r="H338" s="119">
        <f>H339</f>
        <v>8362.3067200000005</v>
      </c>
      <c r="I338" s="119">
        <f t="shared" ref="I338:I339" si="159">I339</f>
        <v>8362.3067200000005</v>
      </c>
      <c r="J338" s="119">
        <f t="shared" si="135"/>
        <v>100</v>
      </c>
    </row>
    <row r="339" spans="1:10" s="174" customFormat="1" x14ac:dyDescent="0.2">
      <c r="A339" s="112" t="s">
        <v>221</v>
      </c>
      <c r="B339" s="113" t="s">
        <v>416</v>
      </c>
      <c r="C339" s="113" t="s">
        <v>76</v>
      </c>
      <c r="D339" s="113" t="s">
        <v>742</v>
      </c>
      <c r="E339" s="113" t="s">
        <v>418</v>
      </c>
      <c r="F339" s="105"/>
      <c r="G339" s="147"/>
      <c r="H339" s="114">
        <f>H340</f>
        <v>8362.3067200000005</v>
      </c>
      <c r="I339" s="114">
        <f t="shared" si="159"/>
        <v>8362.3067200000005</v>
      </c>
      <c r="J339" s="114">
        <f t="shared" si="135"/>
        <v>100</v>
      </c>
    </row>
    <row r="340" spans="1:10" s="174" customFormat="1" x14ac:dyDescent="0.2">
      <c r="A340" s="112" t="s">
        <v>419</v>
      </c>
      <c r="B340" s="113" t="s">
        <v>416</v>
      </c>
      <c r="C340" s="113" t="s">
        <v>76</v>
      </c>
      <c r="D340" s="113" t="s">
        <v>742</v>
      </c>
      <c r="E340" s="113" t="s">
        <v>420</v>
      </c>
      <c r="F340" s="105"/>
      <c r="G340" s="147"/>
      <c r="H340" s="114">
        <v>8362.3067200000005</v>
      </c>
      <c r="I340" s="114">
        <v>8362.3067200000005</v>
      </c>
      <c r="J340" s="114">
        <f t="shared" si="135"/>
        <v>100</v>
      </c>
    </row>
    <row r="341" spans="1:10" s="174" customFormat="1" x14ac:dyDescent="0.2">
      <c r="A341" s="103" t="s">
        <v>615</v>
      </c>
      <c r="B341" s="104" t="s">
        <v>416</v>
      </c>
      <c r="C341" s="104" t="s">
        <v>76</v>
      </c>
      <c r="D341" s="104" t="s">
        <v>744</v>
      </c>
      <c r="E341" s="104"/>
      <c r="F341" s="105"/>
      <c r="G341" s="147"/>
      <c r="H341" s="105">
        <f>H342</f>
        <v>1100</v>
      </c>
      <c r="I341" s="105">
        <f t="shared" ref="I341:I342" si="160">I342</f>
        <v>1042.69328</v>
      </c>
      <c r="J341" s="105">
        <f t="shared" si="135"/>
        <v>94.790298181818173</v>
      </c>
    </row>
    <row r="342" spans="1:10" s="174" customFormat="1" x14ac:dyDescent="0.2">
      <c r="A342" s="112" t="s">
        <v>221</v>
      </c>
      <c r="B342" s="113" t="s">
        <v>416</v>
      </c>
      <c r="C342" s="113" t="s">
        <v>76</v>
      </c>
      <c r="D342" s="113" t="s">
        <v>744</v>
      </c>
      <c r="E342" s="113" t="s">
        <v>418</v>
      </c>
      <c r="F342" s="105"/>
      <c r="G342" s="147"/>
      <c r="H342" s="114">
        <f>H343</f>
        <v>1100</v>
      </c>
      <c r="I342" s="114">
        <f t="shared" si="160"/>
        <v>1042.69328</v>
      </c>
      <c r="J342" s="114">
        <f t="shared" si="135"/>
        <v>94.790298181818173</v>
      </c>
    </row>
    <row r="343" spans="1:10" s="174" customFormat="1" x14ac:dyDescent="0.2">
      <c r="A343" s="112" t="s">
        <v>419</v>
      </c>
      <c r="B343" s="113" t="s">
        <v>416</v>
      </c>
      <c r="C343" s="113" t="s">
        <v>76</v>
      </c>
      <c r="D343" s="113" t="s">
        <v>744</v>
      </c>
      <c r="E343" s="113" t="s">
        <v>420</v>
      </c>
      <c r="F343" s="105"/>
      <c r="G343" s="147"/>
      <c r="H343" s="114">
        <v>1100</v>
      </c>
      <c r="I343" s="114">
        <v>1042.69328</v>
      </c>
      <c r="J343" s="114">
        <f t="shared" si="135"/>
        <v>94.790298181818173</v>
      </c>
    </row>
    <row r="344" spans="1:10" s="174" customFormat="1" ht="24" x14ac:dyDescent="0.2">
      <c r="A344" s="117" t="s">
        <v>435</v>
      </c>
      <c r="B344" s="118" t="s">
        <v>416</v>
      </c>
      <c r="C344" s="118" t="s">
        <v>76</v>
      </c>
      <c r="D344" s="118" t="s">
        <v>493</v>
      </c>
      <c r="E344" s="118"/>
      <c r="F344" s="119">
        <f>F345</f>
        <v>25495</v>
      </c>
      <c r="G344" s="147">
        <f t="shared" si="136"/>
        <v>0</v>
      </c>
      <c r="H344" s="119">
        <f>H345</f>
        <v>25495</v>
      </c>
      <c r="I344" s="119">
        <f t="shared" ref="I344:I345" si="161">I345</f>
        <v>18598.37948</v>
      </c>
      <c r="J344" s="119">
        <f t="shared" si="135"/>
        <v>72.949125240243191</v>
      </c>
    </row>
    <row r="345" spans="1:10" s="174" customFormat="1" x14ac:dyDescent="0.2">
      <c r="A345" s="112" t="s">
        <v>104</v>
      </c>
      <c r="B345" s="113" t="s">
        <v>416</v>
      </c>
      <c r="C345" s="113" t="s">
        <v>76</v>
      </c>
      <c r="D345" s="113" t="s">
        <v>493</v>
      </c>
      <c r="E345" s="113" t="s">
        <v>391</v>
      </c>
      <c r="F345" s="114">
        <f>F346</f>
        <v>25495</v>
      </c>
      <c r="G345" s="147">
        <f t="shared" si="136"/>
        <v>0</v>
      </c>
      <c r="H345" s="114">
        <f>H346</f>
        <v>25495</v>
      </c>
      <c r="I345" s="114">
        <f t="shared" si="161"/>
        <v>18598.37948</v>
      </c>
      <c r="J345" s="114">
        <f t="shared" si="135"/>
        <v>72.949125240243191</v>
      </c>
    </row>
    <row r="346" spans="1:10" s="174" customFormat="1" x14ac:dyDescent="0.2">
      <c r="A346" s="112" t="s">
        <v>139</v>
      </c>
      <c r="B346" s="113" t="s">
        <v>416</v>
      </c>
      <c r="C346" s="113" t="s">
        <v>76</v>
      </c>
      <c r="D346" s="113" t="s">
        <v>493</v>
      </c>
      <c r="E346" s="113" t="s">
        <v>448</v>
      </c>
      <c r="F346" s="114">
        <f>10495+15000</f>
        <v>25495</v>
      </c>
      <c r="G346" s="147">
        <f t="shared" si="136"/>
        <v>0</v>
      </c>
      <c r="H346" s="114">
        <f>10495+15000</f>
        <v>25495</v>
      </c>
      <c r="I346" s="114">
        <v>18598.37948</v>
      </c>
      <c r="J346" s="114">
        <f t="shared" si="135"/>
        <v>72.949125240243191</v>
      </c>
    </row>
    <row r="347" spans="1:10" s="174" customFormat="1" x14ac:dyDescent="0.2">
      <c r="A347" s="117" t="s">
        <v>157</v>
      </c>
      <c r="B347" s="118" t="s">
        <v>416</v>
      </c>
      <c r="C347" s="118" t="s">
        <v>76</v>
      </c>
      <c r="D347" s="118" t="s">
        <v>647</v>
      </c>
      <c r="E347" s="118"/>
      <c r="F347" s="129">
        <f>F348</f>
        <v>2500</v>
      </c>
      <c r="G347" s="147">
        <f t="shared" si="136"/>
        <v>0</v>
      </c>
      <c r="H347" s="129">
        <f>H348</f>
        <v>2500</v>
      </c>
      <c r="I347" s="129">
        <f t="shared" ref="I347:I348" si="162">I348</f>
        <v>2500</v>
      </c>
      <c r="J347" s="119">
        <f t="shared" si="135"/>
        <v>100</v>
      </c>
    </row>
    <row r="348" spans="1:10" s="174" customFormat="1" x14ac:dyDescent="0.2">
      <c r="A348" s="112" t="s">
        <v>294</v>
      </c>
      <c r="B348" s="113" t="s">
        <v>416</v>
      </c>
      <c r="C348" s="113" t="s">
        <v>76</v>
      </c>
      <c r="D348" s="113" t="s">
        <v>647</v>
      </c>
      <c r="E348" s="113" t="s">
        <v>84</v>
      </c>
      <c r="F348" s="128">
        <f>F349</f>
        <v>2500</v>
      </c>
      <c r="G348" s="147">
        <f t="shared" si="136"/>
        <v>0</v>
      </c>
      <c r="H348" s="128">
        <f>H349</f>
        <v>2500</v>
      </c>
      <c r="I348" s="128">
        <f t="shared" si="162"/>
        <v>2500</v>
      </c>
      <c r="J348" s="114">
        <f t="shared" si="135"/>
        <v>100</v>
      </c>
    </row>
    <row r="349" spans="1:10" s="174" customFormat="1" x14ac:dyDescent="0.2">
      <c r="A349" s="112" t="s">
        <v>85</v>
      </c>
      <c r="B349" s="113" t="s">
        <v>416</v>
      </c>
      <c r="C349" s="113" t="s">
        <v>76</v>
      </c>
      <c r="D349" s="113" t="s">
        <v>647</v>
      </c>
      <c r="E349" s="113" t="s">
        <v>86</v>
      </c>
      <c r="F349" s="128">
        <v>2500</v>
      </c>
      <c r="G349" s="147">
        <f t="shared" si="136"/>
        <v>0</v>
      </c>
      <c r="H349" s="128">
        <v>2500</v>
      </c>
      <c r="I349" s="128">
        <v>2500</v>
      </c>
      <c r="J349" s="114">
        <f t="shared" si="135"/>
        <v>100</v>
      </c>
    </row>
    <row r="350" spans="1:10" s="174" customFormat="1" ht="27" x14ac:dyDescent="0.2">
      <c r="A350" s="116" t="s">
        <v>672</v>
      </c>
      <c r="B350" s="107" t="s">
        <v>416</v>
      </c>
      <c r="C350" s="107" t="s">
        <v>76</v>
      </c>
      <c r="D350" s="107" t="s">
        <v>266</v>
      </c>
      <c r="E350" s="107"/>
      <c r="F350" s="108">
        <f>F351+F363</f>
        <v>15300</v>
      </c>
      <c r="G350" s="147">
        <f t="shared" si="136"/>
        <v>56930.247790000009</v>
      </c>
      <c r="H350" s="108">
        <f>H351+H363+H357+H360+H354</f>
        <v>72230.247790000009</v>
      </c>
      <c r="I350" s="108">
        <f t="shared" ref="I350" si="163">I351+I363+I357+I360+I354</f>
        <v>71126.324999999997</v>
      </c>
      <c r="J350" s="119">
        <f t="shared" si="135"/>
        <v>98.471661355489843</v>
      </c>
    </row>
    <row r="351" spans="1:10" s="174" customFormat="1" ht="24" x14ac:dyDescent="0.2">
      <c r="A351" s="103" t="s">
        <v>480</v>
      </c>
      <c r="B351" s="104" t="s">
        <v>416</v>
      </c>
      <c r="C351" s="104" t="s">
        <v>76</v>
      </c>
      <c r="D351" s="104" t="s">
        <v>620</v>
      </c>
      <c r="E351" s="104"/>
      <c r="F351" s="127">
        <f>F352</f>
        <v>2000</v>
      </c>
      <c r="G351" s="147">
        <f t="shared" si="136"/>
        <v>-160</v>
      </c>
      <c r="H351" s="127">
        <f>H352</f>
        <v>1840</v>
      </c>
      <c r="I351" s="127">
        <f t="shared" ref="I351:I352" si="164">I352</f>
        <v>884.32100000000003</v>
      </c>
      <c r="J351" s="105">
        <f t="shared" si="135"/>
        <v>48.060923913043482</v>
      </c>
    </row>
    <row r="352" spans="1:10" s="174" customFormat="1" x14ac:dyDescent="0.2">
      <c r="A352" s="112" t="s">
        <v>294</v>
      </c>
      <c r="B352" s="113" t="s">
        <v>416</v>
      </c>
      <c r="C352" s="113" t="s">
        <v>76</v>
      </c>
      <c r="D352" s="113" t="s">
        <v>620</v>
      </c>
      <c r="E352" s="113" t="s">
        <v>84</v>
      </c>
      <c r="F352" s="128">
        <f>F353</f>
        <v>2000</v>
      </c>
      <c r="G352" s="147">
        <f t="shared" si="136"/>
        <v>-160</v>
      </c>
      <c r="H352" s="128">
        <f>H353</f>
        <v>1840</v>
      </c>
      <c r="I352" s="128">
        <f t="shared" si="164"/>
        <v>884.32100000000003</v>
      </c>
      <c r="J352" s="114">
        <f t="shared" si="135"/>
        <v>48.060923913043482</v>
      </c>
    </row>
    <row r="353" spans="1:10" s="174" customFormat="1" x14ac:dyDescent="0.2">
      <c r="A353" s="112" t="s">
        <v>85</v>
      </c>
      <c r="B353" s="113" t="s">
        <v>416</v>
      </c>
      <c r="C353" s="113" t="s">
        <v>76</v>
      </c>
      <c r="D353" s="113" t="s">
        <v>620</v>
      </c>
      <c r="E353" s="113" t="s">
        <v>86</v>
      </c>
      <c r="F353" s="128">
        <v>2000</v>
      </c>
      <c r="G353" s="147">
        <f t="shared" si="136"/>
        <v>-160</v>
      </c>
      <c r="H353" s="128">
        <f>2000-160</f>
        <v>1840</v>
      </c>
      <c r="I353" s="128">
        <v>884.32100000000003</v>
      </c>
      <c r="J353" s="114">
        <f t="shared" ref="J353:J416" si="165">I353/H353*100</f>
        <v>48.060923913043482</v>
      </c>
    </row>
    <row r="354" spans="1:10" s="174" customFormat="1" x14ac:dyDescent="0.2">
      <c r="A354" s="134" t="s">
        <v>136</v>
      </c>
      <c r="B354" s="104" t="s">
        <v>416</v>
      </c>
      <c r="C354" s="104" t="s">
        <v>76</v>
      </c>
      <c r="D354" s="104" t="s">
        <v>619</v>
      </c>
      <c r="E354" s="104"/>
      <c r="F354" s="127">
        <v>500</v>
      </c>
      <c r="G354" s="147"/>
      <c r="H354" s="127">
        <f>H355</f>
        <v>160</v>
      </c>
      <c r="I354" s="127">
        <f t="shared" ref="I354:I355" si="166">I355</f>
        <v>50</v>
      </c>
      <c r="J354" s="105">
        <f t="shared" si="165"/>
        <v>31.25</v>
      </c>
    </row>
    <row r="355" spans="1:10" s="174" customFormat="1" x14ac:dyDescent="0.2">
      <c r="A355" s="112" t="s">
        <v>294</v>
      </c>
      <c r="B355" s="113" t="s">
        <v>416</v>
      </c>
      <c r="C355" s="113" t="s">
        <v>76</v>
      </c>
      <c r="D355" s="113" t="s">
        <v>619</v>
      </c>
      <c r="E355" s="113" t="s">
        <v>84</v>
      </c>
      <c r="F355" s="128">
        <v>500</v>
      </c>
      <c r="G355" s="147"/>
      <c r="H355" s="128">
        <f>H356</f>
        <v>160</v>
      </c>
      <c r="I355" s="128">
        <f t="shared" si="166"/>
        <v>50</v>
      </c>
      <c r="J355" s="114">
        <f t="shared" si="165"/>
        <v>31.25</v>
      </c>
    </row>
    <row r="356" spans="1:10" s="174" customFormat="1" x14ac:dyDescent="0.2">
      <c r="A356" s="112" t="s">
        <v>85</v>
      </c>
      <c r="B356" s="113" t="s">
        <v>416</v>
      </c>
      <c r="C356" s="113" t="s">
        <v>76</v>
      </c>
      <c r="D356" s="113" t="s">
        <v>619</v>
      </c>
      <c r="E356" s="113" t="s">
        <v>86</v>
      </c>
      <c r="F356" s="128">
        <v>500</v>
      </c>
      <c r="G356" s="147"/>
      <c r="H356" s="128">
        <v>160</v>
      </c>
      <c r="I356" s="128">
        <v>50</v>
      </c>
      <c r="J356" s="114">
        <f t="shared" si="165"/>
        <v>31.25</v>
      </c>
    </row>
    <row r="357" spans="1:10" s="174" customFormat="1" ht="54" x14ac:dyDescent="0.2">
      <c r="A357" s="151" t="s">
        <v>727</v>
      </c>
      <c r="B357" s="107" t="s">
        <v>416</v>
      </c>
      <c r="C357" s="107" t="s">
        <v>76</v>
      </c>
      <c r="D357" s="107" t="s">
        <v>728</v>
      </c>
      <c r="E357" s="107"/>
      <c r="F357" s="128"/>
      <c r="G357" s="147"/>
      <c r="H357" s="108">
        <f>H358</f>
        <v>54171.156999999999</v>
      </c>
      <c r="I357" s="108">
        <f t="shared" ref="I357:I358" si="167">I358</f>
        <v>54171.156999999999</v>
      </c>
      <c r="J357" s="105">
        <f t="shared" si="165"/>
        <v>100</v>
      </c>
    </row>
    <row r="358" spans="1:10" s="174" customFormat="1" x14ac:dyDescent="0.2">
      <c r="A358" s="112" t="s">
        <v>221</v>
      </c>
      <c r="B358" s="113" t="s">
        <v>416</v>
      </c>
      <c r="C358" s="113" t="s">
        <v>76</v>
      </c>
      <c r="D358" s="113" t="s">
        <v>728</v>
      </c>
      <c r="E358" s="113" t="s">
        <v>418</v>
      </c>
      <c r="F358" s="128"/>
      <c r="G358" s="147"/>
      <c r="H358" s="114">
        <f>H359</f>
        <v>54171.156999999999</v>
      </c>
      <c r="I358" s="114">
        <f t="shared" si="167"/>
        <v>54171.156999999999</v>
      </c>
      <c r="J358" s="114">
        <f t="shared" si="165"/>
        <v>100</v>
      </c>
    </row>
    <row r="359" spans="1:10" s="174" customFormat="1" x14ac:dyDescent="0.2">
      <c r="A359" s="112" t="s">
        <v>419</v>
      </c>
      <c r="B359" s="113" t="s">
        <v>416</v>
      </c>
      <c r="C359" s="113" t="s">
        <v>76</v>
      </c>
      <c r="D359" s="113" t="s">
        <v>728</v>
      </c>
      <c r="E359" s="113" t="s">
        <v>420</v>
      </c>
      <c r="F359" s="128"/>
      <c r="G359" s="147"/>
      <c r="H359" s="114">
        <v>54171.156999999999</v>
      </c>
      <c r="I359" s="114">
        <v>54171.156999999999</v>
      </c>
      <c r="J359" s="114">
        <f t="shared" si="165"/>
        <v>100</v>
      </c>
    </row>
    <row r="360" spans="1:10" s="174" customFormat="1" ht="40.5" x14ac:dyDescent="0.2">
      <c r="A360" s="116" t="s">
        <v>729</v>
      </c>
      <c r="B360" s="107" t="s">
        <v>416</v>
      </c>
      <c r="C360" s="107" t="s">
        <v>76</v>
      </c>
      <c r="D360" s="107" t="s">
        <v>730</v>
      </c>
      <c r="E360" s="107"/>
      <c r="F360" s="128"/>
      <c r="G360" s="147"/>
      <c r="H360" s="108">
        <f>H361</f>
        <v>2759.0907900000002</v>
      </c>
      <c r="I360" s="108">
        <f t="shared" ref="I360:I361" si="168">I361</f>
        <v>2759.0907900000002</v>
      </c>
      <c r="J360" s="108">
        <f t="shared" si="165"/>
        <v>100</v>
      </c>
    </row>
    <row r="361" spans="1:10" s="174" customFormat="1" x14ac:dyDescent="0.2">
      <c r="A361" s="112" t="s">
        <v>221</v>
      </c>
      <c r="B361" s="113" t="s">
        <v>416</v>
      </c>
      <c r="C361" s="113" t="s">
        <v>76</v>
      </c>
      <c r="D361" s="113" t="s">
        <v>730</v>
      </c>
      <c r="E361" s="113" t="s">
        <v>418</v>
      </c>
      <c r="F361" s="128"/>
      <c r="G361" s="147"/>
      <c r="H361" s="114">
        <f>H362</f>
        <v>2759.0907900000002</v>
      </c>
      <c r="I361" s="114">
        <f t="shared" si="168"/>
        <v>2759.0907900000002</v>
      </c>
      <c r="J361" s="114">
        <f t="shared" si="165"/>
        <v>100</v>
      </c>
    </row>
    <row r="362" spans="1:10" s="174" customFormat="1" x14ac:dyDescent="0.2">
      <c r="A362" s="112" t="s">
        <v>419</v>
      </c>
      <c r="B362" s="113" t="s">
        <v>416</v>
      </c>
      <c r="C362" s="113" t="s">
        <v>76</v>
      </c>
      <c r="D362" s="113" t="s">
        <v>730</v>
      </c>
      <c r="E362" s="113" t="s">
        <v>420</v>
      </c>
      <c r="F362" s="128"/>
      <c r="G362" s="147"/>
      <c r="H362" s="114">
        <v>2759.0907900000002</v>
      </c>
      <c r="I362" s="114">
        <v>2759.0907900000002</v>
      </c>
      <c r="J362" s="114">
        <f t="shared" si="165"/>
        <v>100</v>
      </c>
    </row>
    <row r="363" spans="1:10" s="174" customFormat="1" x14ac:dyDescent="0.2">
      <c r="A363" s="103" t="s">
        <v>615</v>
      </c>
      <c r="B363" s="104" t="s">
        <v>416</v>
      </c>
      <c r="C363" s="104" t="s">
        <v>76</v>
      </c>
      <c r="D363" s="104" t="s">
        <v>616</v>
      </c>
      <c r="E363" s="104"/>
      <c r="F363" s="105">
        <f>F364</f>
        <v>13300</v>
      </c>
      <c r="G363" s="147">
        <f t="shared" si="136"/>
        <v>0</v>
      </c>
      <c r="H363" s="105">
        <f>H364</f>
        <v>13300</v>
      </c>
      <c r="I363" s="105">
        <f t="shared" ref="I363:I364" si="169">I364</f>
        <v>13261.75621</v>
      </c>
      <c r="J363" s="105">
        <f t="shared" si="165"/>
        <v>99.712452706766925</v>
      </c>
    </row>
    <row r="364" spans="1:10" s="174" customFormat="1" x14ac:dyDescent="0.2">
      <c r="A364" s="112" t="s">
        <v>221</v>
      </c>
      <c r="B364" s="113" t="s">
        <v>416</v>
      </c>
      <c r="C364" s="113" t="s">
        <v>76</v>
      </c>
      <c r="D364" s="113" t="s">
        <v>616</v>
      </c>
      <c r="E364" s="113" t="s">
        <v>418</v>
      </c>
      <c r="F364" s="114">
        <f>F365</f>
        <v>13300</v>
      </c>
      <c r="G364" s="147">
        <f t="shared" si="136"/>
        <v>0</v>
      </c>
      <c r="H364" s="114">
        <f>H365</f>
        <v>13300</v>
      </c>
      <c r="I364" s="114">
        <f t="shared" si="169"/>
        <v>13261.75621</v>
      </c>
      <c r="J364" s="114">
        <f t="shared" si="165"/>
        <v>99.712452706766925</v>
      </c>
    </row>
    <row r="365" spans="1:10" s="174" customFormat="1" x14ac:dyDescent="0.2">
      <c r="A365" s="112" t="s">
        <v>419</v>
      </c>
      <c r="B365" s="113" t="s">
        <v>416</v>
      </c>
      <c r="C365" s="113" t="s">
        <v>76</v>
      </c>
      <c r="D365" s="113" t="s">
        <v>616</v>
      </c>
      <c r="E365" s="113" t="s">
        <v>420</v>
      </c>
      <c r="F365" s="114">
        <v>13300</v>
      </c>
      <c r="G365" s="147">
        <f t="shared" si="136"/>
        <v>0</v>
      </c>
      <c r="H365" s="114">
        <v>13300</v>
      </c>
      <c r="I365" s="114">
        <v>13261.75621</v>
      </c>
      <c r="J365" s="114">
        <f t="shared" si="165"/>
        <v>99.712452706766925</v>
      </c>
    </row>
    <row r="366" spans="1:10" s="174" customFormat="1" x14ac:dyDescent="0.2">
      <c r="A366" s="103" t="s">
        <v>360</v>
      </c>
      <c r="B366" s="104" t="s">
        <v>416</v>
      </c>
      <c r="C366" s="104" t="s">
        <v>477</v>
      </c>
      <c r="D366" s="104"/>
      <c r="E366" s="104"/>
      <c r="F366" s="105" t="e">
        <f>#REF!</f>
        <v>#REF!</v>
      </c>
      <c r="G366" s="147" t="e">
        <f t="shared" si="136"/>
        <v>#REF!</v>
      </c>
      <c r="H366" s="105">
        <f>H367+H371</f>
        <v>109343.54000000001</v>
      </c>
      <c r="I366" s="105">
        <f t="shared" ref="I366" si="170">I367+I371</f>
        <v>72395.479879999999</v>
      </c>
      <c r="J366" s="105">
        <f t="shared" si="165"/>
        <v>66.209197068249296</v>
      </c>
    </row>
    <row r="367" spans="1:10" s="174" customFormat="1" ht="15" customHeight="1" x14ac:dyDescent="0.2">
      <c r="A367" s="116" t="s">
        <v>602</v>
      </c>
      <c r="B367" s="107" t="s">
        <v>416</v>
      </c>
      <c r="C367" s="107" t="s">
        <v>477</v>
      </c>
      <c r="D367" s="142" t="s">
        <v>249</v>
      </c>
      <c r="E367" s="104"/>
      <c r="F367" s="105"/>
      <c r="G367" s="147"/>
      <c r="H367" s="108">
        <f>H368</f>
        <v>27113.54</v>
      </c>
      <c r="I367" s="108">
        <f t="shared" ref="I367:I369" si="171">I368</f>
        <v>27113.54</v>
      </c>
      <c r="J367" s="108">
        <f t="shared" si="165"/>
        <v>100</v>
      </c>
    </row>
    <row r="368" spans="1:10" s="174" customFormat="1" ht="24" x14ac:dyDescent="0.2">
      <c r="A368" s="103" t="s">
        <v>739</v>
      </c>
      <c r="B368" s="104" t="s">
        <v>416</v>
      </c>
      <c r="C368" s="104" t="s">
        <v>477</v>
      </c>
      <c r="D368" s="104" t="s">
        <v>740</v>
      </c>
      <c r="E368" s="104"/>
      <c r="F368" s="105"/>
      <c r="G368" s="147"/>
      <c r="H368" s="105">
        <f>H369</f>
        <v>27113.54</v>
      </c>
      <c r="I368" s="105">
        <f t="shared" si="171"/>
        <v>27113.54</v>
      </c>
      <c r="J368" s="105">
        <f t="shared" si="165"/>
        <v>100</v>
      </c>
    </row>
    <row r="369" spans="1:10" s="174" customFormat="1" x14ac:dyDescent="0.2">
      <c r="A369" s="112" t="s">
        <v>104</v>
      </c>
      <c r="B369" s="113" t="s">
        <v>416</v>
      </c>
      <c r="C369" s="113" t="s">
        <v>477</v>
      </c>
      <c r="D369" s="113" t="s">
        <v>740</v>
      </c>
      <c r="E369" s="113" t="s">
        <v>391</v>
      </c>
      <c r="F369" s="105"/>
      <c r="G369" s="147"/>
      <c r="H369" s="114">
        <f>H370</f>
        <v>27113.54</v>
      </c>
      <c r="I369" s="114">
        <f t="shared" si="171"/>
        <v>27113.54</v>
      </c>
      <c r="J369" s="114">
        <f t="shared" si="165"/>
        <v>100</v>
      </c>
    </row>
    <row r="370" spans="1:10" s="174" customFormat="1" x14ac:dyDescent="0.2">
      <c r="A370" s="112" t="s">
        <v>105</v>
      </c>
      <c r="B370" s="113" t="s">
        <v>416</v>
      </c>
      <c r="C370" s="113" t="s">
        <v>477</v>
      </c>
      <c r="D370" s="113" t="s">
        <v>740</v>
      </c>
      <c r="E370" s="113" t="s">
        <v>409</v>
      </c>
      <c r="F370" s="105"/>
      <c r="G370" s="147"/>
      <c r="H370" s="114">
        <v>27113.54</v>
      </c>
      <c r="I370" s="114">
        <v>27113.54</v>
      </c>
      <c r="J370" s="114">
        <f t="shared" si="165"/>
        <v>100</v>
      </c>
    </row>
    <row r="371" spans="1:10" s="174" customFormat="1" ht="27" x14ac:dyDescent="0.2">
      <c r="A371" s="116" t="s">
        <v>677</v>
      </c>
      <c r="B371" s="107" t="s">
        <v>416</v>
      </c>
      <c r="C371" s="107" t="s">
        <v>477</v>
      </c>
      <c r="D371" s="107" t="s">
        <v>237</v>
      </c>
      <c r="E371" s="118"/>
      <c r="F371" s="108" t="e">
        <f>F372+F381+F387+F390</f>
        <v>#REF!</v>
      </c>
      <c r="G371" s="147" t="e">
        <f t="shared" si="136"/>
        <v>#REF!</v>
      </c>
      <c r="H371" s="108">
        <f>H372+H381+H387+H390</f>
        <v>82230</v>
      </c>
      <c r="I371" s="108">
        <f t="shared" ref="I371" si="172">I372+I381+I387+I390</f>
        <v>45281.939879999998</v>
      </c>
      <c r="J371" s="108">
        <f t="shared" si="165"/>
        <v>55.06742050346589</v>
      </c>
    </row>
    <row r="372" spans="1:10" s="174" customFormat="1" ht="27" x14ac:dyDescent="0.2">
      <c r="A372" s="116" t="s">
        <v>125</v>
      </c>
      <c r="B372" s="107" t="s">
        <v>416</v>
      </c>
      <c r="C372" s="107" t="s">
        <v>477</v>
      </c>
      <c r="D372" s="107" t="s">
        <v>242</v>
      </c>
      <c r="E372" s="118"/>
      <c r="F372" s="108" t="e">
        <f>F373+#REF!+F378</f>
        <v>#REF!</v>
      </c>
      <c r="G372" s="147" t="e">
        <f t="shared" ref="G372:G428" si="173">H372-F372</f>
        <v>#REF!</v>
      </c>
      <c r="H372" s="108">
        <f>H373+H378</f>
        <v>16100</v>
      </c>
      <c r="I372" s="108">
        <f t="shared" ref="I372" si="174">I373+I378</f>
        <v>15477.551030000001</v>
      </c>
      <c r="J372" s="108">
        <f t="shared" si="165"/>
        <v>96.133857329192551</v>
      </c>
    </row>
    <row r="373" spans="1:10" s="174" customFormat="1" x14ac:dyDescent="0.2">
      <c r="A373" s="103" t="s">
        <v>636</v>
      </c>
      <c r="B373" s="104" t="s">
        <v>416</v>
      </c>
      <c r="C373" s="104" t="s">
        <v>477</v>
      </c>
      <c r="D373" s="104" t="s">
        <v>637</v>
      </c>
      <c r="E373" s="113"/>
      <c r="F373" s="127">
        <f>F376</f>
        <v>14100</v>
      </c>
      <c r="G373" s="147">
        <f t="shared" si="173"/>
        <v>0</v>
      </c>
      <c r="H373" s="127">
        <f>H374+H376</f>
        <v>14100</v>
      </c>
      <c r="I373" s="127">
        <f t="shared" ref="I373" si="175">I374+I376</f>
        <v>13648.271130000001</v>
      </c>
      <c r="J373" s="105">
        <f t="shared" si="165"/>
        <v>96.79624914893617</v>
      </c>
    </row>
    <row r="374" spans="1:10" s="174" customFormat="1" x14ac:dyDescent="0.2">
      <c r="A374" s="112" t="s">
        <v>294</v>
      </c>
      <c r="B374" s="131" t="s">
        <v>416</v>
      </c>
      <c r="C374" s="131" t="s">
        <v>477</v>
      </c>
      <c r="D374" s="113" t="s">
        <v>637</v>
      </c>
      <c r="E374" s="113" t="s">
        <v>84</v>
      </c>
      <c r="F374" s="127"/>
      <c r="G374" s="147"/>
      <c r="H374" s="128">
        <f>H375</f>
        <v>3760</v>
      </c>
      <c r="I374" s="128">
        <f t="shared" ref="I374" si="176">I375</f>
        <v>3574.0135300000002</v>
      </c>
      <c r="J374" s="114">
        <f t="shared" si="165"/>
        <v>95.05355132978724</v>
      </c>
    </row>
    <row r="375" spans="1:10" s="174" customFormat="1" x14ac:dyDescent="0.2">
      <c r="A375" s="112" t="s">
        <v>85</v>
      </c>
      <c r="B375" s="113" t="s">
        <v>416</v>
      </c>
      <c r="C375" s="113" t="s">
        <v>477</v>
      </c>
      <c r="D375" s="113" t="s">
        <v>637</v>
      </c>
      <c r="E375" s="113" t="s">
        <v>86</v>
      </c>
      <c r="F375" s="127"/>
      <c r="G375" s="147"/>
      <c r="H375" s="128">
        <v>3760</v>
      </c>
      <c r="I375" s="128">
        <v>3574.0135300000002</v>
      </c>
      <c r="J375" s="114">
        <f t="shared" si="165"/>
        <v>95.05355132978724</v>
      </c>
    </row>
    <row r="376" spans="1:10" s="174" customFormat="1" x14ac:dyDescent="0.2">
      <c r="A376" s="112" t="s">
        <v>417</v>
      </c>
      <c r="B376" s="131" t="s">
        <v>416</v>
      </c>
      <c r="C376" s="131" t="s">
        <v>477</v>
      </c>
      <c r="D376" s="113" t="s">
        <v>637</v>
      </c>
      <c r="E376" s="113" t="s">
        <v>418</v>
      </c>
      <c r="F376" s="128">
        <f>F377</f>
        <v>14100</v>
      </c>
      <c r="G376" s="147">
        <f t="shared" si="173"/>
        <v>-3760</v>
      </c>
      <c r="H376" s="128">
        <f>H377</f>
        <v>10340</v>
      </c>
      <c r="I376" s="128">
        <f t="shared" ref="I376" si="177">I377</f>
        <v>10074.257600000001</v>
      </c>
      <c r="J376" s="114">
        <f t="shared" si="165"/>
        <v>97.42995744680853</v>
      </c>
    </row>
    <row r="377" spans="1:10" s="174" customFormat="1" x14ac:dyDescent="0.2">
      <c r="A377" s="112" t="s">
        <v>419</v>
      </c>
      <c r="B377" s="113" t="s">
        <v>416</v>
      </c>
      <c r="C377" s="113" t="s">
        <v>477</v>
      </c>
      <c r="D377" s="113" t="s">
        <v>637</v>
      </c>
      <c r="E377" s="113" t="s">
        <v>420</v>
      </c>
      <c r="F377" s="128">
        <v>14100</v>
      </c>
      <c r="G377" s="147">
        <f t="shared" si="173"/>
        <v>-3760</v>
      </c>
      <c r="H377" s="128">
        <f>14100-3760</f>
        <v>10340</v>
      </c>
      <c r="I377" s="128">
        <v>10074.257600000001</v>
      </c>
      <c r="J377" s="114">
        <f t="shared" si="165"/>
        <v>97.42995744680853</v>
      </c>
    </row>
    <row r="378" spans="1:10" s="174" customFormat="1" x14ac:dyDescent="0.2">
      <c r="A378" s="103" t="s">
        <v>673</v>
      </c>
      <c r="B378" s="104" t="s">
        <v>416</v>
      </c>
      <c r="C378" s="104" t="s">
        <v>477</v>
      </c>
      <c r="D378" s="104" t="s">
        <v>638</v>
      </c>
      <c r="E378" s="104"/>
      <c r="F378" s="127">
        <f>F379</f>
        <v>1000</v>
      </c>
      <c r="G378" s="147">
        <f t="shared" si="173"/>
        <v>1000</v>
      </c>
      <c r="H378" s="127">
        <f>H379</f>
        <v>2000</v>
      </c>
      <c r="I378" s="127">
        <f t="shared" ref="I378:I379" si="178">I379</f>
        <v>1829.2799</v>
      </c>
      <c r="J378" s="105">
        <f t="shared" si="165"/>
        <v>91.463994999999997</v>
      </c>
    </row>
    <row r="379" spans="1:10" s="174" customFormat="1" x14ac:dyDescent="0.2">
      <c r="A379" s="112" t="s">
        <v>294</v>
      </c>
      <c r="B379" s="113" t="s">
        <v>416</v>
      </c>
      <c r="C379" s="113" t="s">
        <v>477</v>
      </c>
      <c r="D379" s="113" t="s">
        <v>638</v>
      </c>
      <c r="E379" s="113" t="s">
        <v>84</v>
      </c>
      <c r="F379" s="128">
        <f>F380</f>
        <v>1000</v>
      </c>
      <c r="G379" s="147">
        <f t="shared" si="173"/>
        <v>1000</v>
      </c>
      <c r="H379" s="128">
        <f>H380</f>
        <v>2000</v>
      </c>
      <c r="I379" s="128">
        <f t="shared" si="178"/>
        <v>1829.2799</v>
      </c>
      <c r="J379" s="114">
        <f t="shared" si="165"/>
        <v>91.463994999999997</v>
      </c>
    </row>
    <row r="380" spans="1:10" s="174" customFormat="1" x14ac:dyDescent="0.2">
      <c r="A380" s="112" t="s">
        <v>85</v>
      </c>
      <c r="B380" s="113" t="s">
        <v>416</v>
      </c>
      <c r="C380" s="113" t="s">
        <v>477</v>
      </c>
      <c r="D380" s="113" t="s">
        <v>638</v>
      </c>
      <c r="E380" s="113" t="s">
        <v>86</v>
      </c>
      <c r="F380" s="128">
        <v>1000</v>
      </c>
      <c r="G380" s="147">
        <f t="shared" si="173"/>
        <v>1000</v>
      </c>
      <c r="H380" s="128">
        <f>1000+1000</f>
        <v>2000</v>
      </c>
      <c r="I380" s="128">
        <v>1829.2799</v>
      </c>
      <c r="J380" s="114">
        <f t="shared" si="165"/>
        <v>91.463994999999997</v>
      </c>
    </row>
    <row r="381" spans="1:10" s="174" customFormat="1" ht="24" x14ac:dyDescent="0.2">
      <c r="A381" s="103" t="s">
        <v>627</v>
      </c>
      <c r="B381" s="104" t="s">
        <v>416</v>
      </c>
      <c r="C381" s="104" t="s">
        <v>477</v>
      </c>
      <c r="D381" s="104" t="s">
        <v>151</v>
      </c>
      <c r="E381" s="113"/>
      <c r="F381" s="105">
        <f>F382</f>
        <v>69030</v>
      </c>
      <c r="G381" s="147">
        <f t="shared" si="173"/>
        <v>-9100</v>
      </c>
      <c r="H381" s="105">
        <f>H382</f>
        <v>59930</v>
      </c>
      <c r="I381" s="105">
        <f t="shared" ref="I381" si="179">I382</f>
        <v>26804.388849999999</v>
      </c>
      <c r="J381" s="105">
        <f t="shared" si="165"/>
        <v>44.726161938928747</v>
      </c>
    </row>
    <row r="382" spans="1:10" s="174" customFormat="1" ht="24" x14ac:dyDescent="0.2">
      <c r="A382" s="117" t="s">
        <v>628</v>
      </c>
      <c r="B382" s="118" t="s">
        <v>416</v>
      </c>
      <c r="C382" s="118" t="s">
        <v>477</v>
      </c>
      <c r="D382" s="118" t="s">
        <v>639</v>
      </c>
      <c r="E382" s="132"/>
      <c r="F382" s="119">
        <f>F383+F385</f>
        <v>69030</v>
      </c>
      <c r="G382" s="147">
        <f t="shared" si="173"/>
        <v>-9100</v>
      </c>
      <c r="H382" s="119">
        <f>H383+H385</f>
        <v>59930</v>
      </c>
      <c r="I382" s="119">
        <f t="shared" ref="I382" si="180">I383+I385</f>
        <v>26804.388849999999</v>
      </c>
      <c r="J382" s="119">
        <f t="shared" si="165"/>
        <v>44.726161938928747</v>
      </c>
    </row>
    <row r="383" spans="1:10" s="174" customFormat="1" x14ac:dyDescent="0.2">
      <c r="A383" s="112" t="s">
        <v>294</v>
      </c>
      <c r="B383" s="113" t="s">
        <v>416</v>
      </c>
      <c r="C383" s="113" t="s">
        <v>477</v>
      </c>
      <c r="D383" s="113" t="s">
        <v>639</v>
      </c>
      <c r="E383" s="113" t="s">
        <v>84</v>
      </c>
      <c r="F383" s="114">
        <f>F384</f>
        <v>24100</v>
      </c>
      <c r="G383" s="147">
        <f t="shared" si="173"/>
        <v>16200</v>
      </c>
      <c r="H383" s="114">
        <f>H384</f>
        <v>40300</v>
      </c>
      <c r="I383" s="114">
        <f t="shared" ref="I383" si="181">I384</f>
        <v>25813.099330000001</v>
      </c>
      <c r="J383" s="114">
        <f t="shared" si="165"/>
        <v>64.052355657568242</v>
      </c>
    </row>
    <row r="384" spans="1:10" s="174" customFormat="1" x14ac:dyDescent="0.2">
      <c r="A384" s="112" t="s">
        <v>85</v>
      </c>
      <c r="B384" s="113" t="s">
        <v>416</v>
      </c>
      <c r="C384" s="113" t="s">
        <v>477</v>
      </c>
      <c r="D384" s="113" t="s">
        <v>639</v>
      </c>
      <c r="E384" s="113" t="s">
        <v>86</v>
      </c>
      <c r="F384" s="114">
        <f>2000+21000+1000+100</f>
        <v>24100</v>
      </c>
      <c r="G384" s="147">
        <f t="shared" si="173"/>
        <v>16200</v>
      </c>
      <c r="H384" s="114">
        <f>2000+21000+1000+100+1000+5500+9700</f>
        <v>40300</v>
      </c>
      <c r="I384" s="114">
        <v>25813.099330000001</v>
      </c>
      <c r="J384" s="114">
        <f t="shared" si="165"/>
        <v>64.052355657568242</v>
      </c>
    </row>
    <row r="385" spans="1:10" s="174" customFormat="1" x14ac:dyDescent="0.2">
      <c r="A385" s="112" t="s">
        <v>417</v>
      </c>
      <c r="B385" s="131" t="s">
        <v>416</v>
      </c>
      <c r="C385" s="131" t="s">
        <v>477</v>
      </c>
      <c r="D385" s="113" t="s">
        <v>639</v>
      </c>
      <c r="E385" s="113" t="s">
        <v>418</v>
      </c>
      <c r="F385" s="114">
        <f>F386</f>
        <v>44930</v>
      </c>
      <c r="G385" s="147">
        <f t="shared" si="173"/>
        <v>-25300</v>
      </c>
      <c r="H385" s="114">
        <f>H386</f>
        <v>19630</v>
      </c>
      <c r="I385" s="114">
        <f t="shared" ref="I385" si="182">I386</f>
        <v>991.28952000000004</v>
      </c>
      <c r="J385" s="114">
        <f t="shared" si="165"/>
        <v>5.0498701986754968</v>
      </c>
    </row>
    <row r="386" spans="1:10" s="174" customFormat="1" x14ac:dyDescent="0.2">
      <c r="A386" s="112" t="s">
        <v>419</v>
      </c>
      <c r="B386" s="113" t="s">
        <v>416</v>
      </c>
      <c r="C386" s="113" t="s">
        <v>477</v>
      </c>
      <c r="D386" s="113" t="s">
        <v>639</v>
      </c>
      <c r="E386" s="113" t="s">
        <v>420</v>
      </c>
      <c r="F386" s="114">
        <v>44930</v>
      </c>
      <c r="G386" s="147">
        <f t="shared" si="173"/>
        <v>-25300</v>
      </c>
      <c r="H386" s="114">
        <f>44930-1000-5500-9700-9100</f>
        <v>19630</v>
      </c>
      <c r="I386" s="114">
        <v>991.28952000000004</v>
      </c>
      <c r="J386" s="114">
        <f t="shared" si="165"/>
        <v>5.0498701986754968</v>
      </c>
    </row>
    <row r="387" spans="1:10" s="174" customFormat="1" x14ac:dyDescent="0.2">
      <c r="A387" s="103" t="s">
        <v>152</v>
      </c>
      <c r="B387" s="104" t="s">
        <v>416</v>
      </c>
      <c r="C387" s="104" t="s">
        <v>477</v>
      </c>
      <c r="D387" s="104" t="s">
        <v>644</v>
      </c>
      <c r="E387" s="104"/>
      <c r="F387" s="105">
        <f>F388</f>
        <v>1200</v>
      </c>
      <c r="G387" s="147">
        <f t="shared" si="173"/>
        <v>0</v>
      </c>
      <c r="H387" s="105">
        <f>H388</f>
        <v>1200</v>
      </c>
      <c r="I387" s="287">
        <f t="shared" ref="I387:I388" si="183">I388</f>
        <v>0</v>
      </c>
      <c r="J387" s="287">
        <f t="shared" si="165"/>
        <v>0</v>
      </c>
    </row>
    <row r="388" spans="1:10" s="174" customFormat="1" x14ac:dyDescent="0.2">
      <c r="A388" s="112" t="s">
        <v>294</v>
      </c>
      <c r="B388" s="113" t="s">
        <v>416</v>
      </c>
      <c r="C388" s="113" t="s">
        <v>477</v>
      </c>
      <c r="D388" s="113" t="s">
        <v>644</v>
      </c>
      <c r="E388" s="113" t="s">
        <v>84</v>
      </c>
      <c r="F388" s="114">
        <f>F389</f>
        <v>1200</v>
      </c>
      <c r="G388" s="147">
        <f t="shared" si="173"/>
        <v>0</v>
      </c>
      <c r="H388" s="114">
        <f>H389</f>
        <v>1200</v>
      </c>
      <c r="I388" s="212">
        <f t="shared" si="183"/>
        <v>0</v>
      </c>
      <c r="J388" s="287">
        <f t="shared" si="165"/>
        <v>0</v>
      </c>
    </row>
    <row r="389" spans="1:10" s="174" customFormat="1" x14ac:dyDescent="0.2">
      <c r="A389" s="112" t="s">
        <v>85</v>
      </c>
      <c r="B389" s="113" t="s">
        <v>416</v>
      </c>
      <c r="C389" s="113" t="s">
        <v>477</v>
      </c>
      <c r="D389" s="113" t="s">
        <v>644</v>
      </c>
      <c r="E389" s="113" t="s">
        <v>86</v>
      </c>
      <c r="F389" s="114">
        <v>1200</v>
      </c>
      <c r="G389" s="147">
        <f t="shared" si="173"/>
        <v>0</v>
      </c>
      <c r="H389" s="114">
        <v>1200</v>
      </c>
      <c r="I389" s="212">
        <v>0</v>
      </c>
      <c r="J389" s="287">
        <f t="shared" si="165"/>
        <v>0</v>
      </c>
    </row>
    <row r="390" spans="1:10" s="174" customFormat="1" x14ac:dyDescent="0.2">
      <c r="A390" s="103" t="s">
        <v>434</v>
      </c>
      <c r="B390" s="104" t="s">
        <v>416</v>
      </c>
      <c r="C390" s="104" t="s">
        <v>477</v>
      </c>
      <c r="D390" s="104" t="s">
        <v>126</v>
      </c>
      <c r="E390" s="104"/>
      <c r="F390" s="105">
        <f>F391</f>
        <v>5000</v>
      </c>
      <c r="G390" s="147">
        <f t="shared" si="173"/>
        <v>0</v>
      </c>
      <c r="H390" s="105">
        <f>H391</f>
        <v>5000</v>
      </c>
      <c r="I390" s="105">
        <f t="shared" ref="I390:I392" si="184">I391</f>
        <v>3000</v>
      </c>
      <c r="J390" s="105">
        <f t="shared" si="165"/>
        <v>60</v>
      </c>
    </row>
    <row r="391" spans="1:10" s="174" customFormat="1" x14ac:dyDescent="0.2">
      <c r="A391" s="117" t="s">
        <v>650</v>
      </c>
      <c r="B391" s="118" t="s">
        <v>416</v>
      </c>
      <c r="C391" s="118" t="s">
        <v>477</v>
      </c>
      <c r="D391" s="118" t="s">
        <v>651</v>
      </c>
      <c r="E391" s="118"/>
      <c r="F391" s="119">
        <f>F392</f>
        <v>5000</v>
      </c>
      <c r="G391" s="147">
        <f t="shared" si="173"/>
        <v>0</v>
      </c>
      <c r="H391" s="119">
        <f>H392</f>
        <v>5000</v>
      </c>
      <c r="I391" s="119">
        <f t="shared" si="184"/>
        <v>3000</v>
      </c>
      <c r="J391" s="119">
        <f t="shared" si="165"/>
        <v>60</v>
      </c>
    </row>
    <row r="392" spans="1:10" s="174" customFormat="1" x14ac:dyDescent="0.2">
      <c r="A392" s="112" t="s">
        <v>294</v>
      </c>
      <c r="B392" s="113" t="s">
        <v>416</v>
      </c>
      <c r="C392" s="113" t="s">
        <v>477</v>
      </c>
      <c r="D392" s="113" t="s">
        <v>651</v>
      </c>
      <c r="E392" s="113" t="s">
        <v>84</v>
      </c>
      <c r="F392" s="114">
        <f>F393</f>
        <v>5000</v>
      </c>
      <c r="G392" s="147">
        <f t="shared" si="173"/>
        <v>0</v>
      </c>
      <c r="H392" s="114">
        <f>H393</f>
        <v>5000</v>
      </c>
      <c r="I392" s="114">
        <f t="shared" si="184"/>
        <v>3000</v>
      </c>
      <c r="J392" s="114">
        <f t="shared" si="165"/>
        <v>60</v>
      </c>
    </row>
    <row r="393" spans="1:10" s="174" customFormat="1" x14ac:dyDescent="0.2">
      <c r="A393" s="112" t="s">
        <v>85</v>
      </c>
      <c r="B393" s="113" t="s">
        <v>416</v>
      </c>
      <c r="C393" s="113" t="s">
        <v>477</v>
      </c>
      <c r="D393" s="113" t="s">
        <v>651</v>
      </c>
      <c r="E393" s="113" t="s">
        <v>86</v>
      </c>
      <c r="F393" s="114">
        <v>5000</v>
      </c>
      <c r="G393" s="147">
        <f t="shared" si="173"/>
        <v>0</v>
      </c>
      <c r="H393" s="114">
        <v>5000</v>
      </c>
      <c r="I393" s="114">
        <v>3000</v>
      </c>
      <c r="J393" s="114">
        <f t="shared" si="165"/>
        <v>60</v>
      </c>
    </row>
    <row r="394" spans="1:10" s="174" customFormat="1" x14ac:dyDescent="0.2">
      <c r="A394" s="103" t="s">
        <v>362</v>
      </c>
      <c r="B394" s="104" t="s">
        <v>416</v>
      </c>
      <c r="C394" s="104" t="s">
        <v>469</v>
      </c>
      <c r="D394" s="113"/>
      <c r="E394" s="113"/>
      <c r="F394" s="105" t="e">
        <f>F395+F423+F434+F453+F460</f>
        <v>#REF!</v>
      </c>
      <c r="G394" s="147" t="e">
        <f t="shared" si="173"/>
        <v>#REF!</v>
      </c>
      <c r="H394" s="105">
        <f>H395+H423+H434+H453+H460</f>
        <v>762529.98879999993</v>
      </c>
      <c r="I394" s="105">
        <f t="shared" ref="I394" si="185">I395+I423+I434+I453+I460</f>
        <v>747277.2232100002</v>
      </c>
      <c r="J394" s="105">
        <f t="shared" si="165"/>
        <v>97.99971596999049</v>
      </c>
    </row>
    <row r="395" spans="1:10" s="174" customFormat="1" ht="12.75" customHeight="1" x14ac:dyDescent="0.2">
      <c r="A395" s="116" t="s">
        <v>602</v>
      </c>
      <c r="B395" s="107" t="s">
        <v>416</v>
      </c>
      <c r="C395" s="107" t="s">
        <v>469</v>
      </c>
      <c r="D395" s="142" t="s">
        <v>249</v>
      </c>
      <c r="E395" s="107"/>
      <c r="F395" s="108" t="e">
        <f>F396+#REF!+#REF!+F399+F402+F405+F408+F411+F414+F417+F420</f>
        <v>#REF!</v>
      </c>
      <c r="G395" s="147" t="e">
        <f t="shared" si="173"/>
        <v>#REF!</v>
      </c>
      <c r="H395" s="108">
        <f>H396+H399+H402+H405+H408+H411+H414+H417+H420</f>
        <v>349120.99699999997</v>
      </c>
      <c r="I395" s="108">
        <f t="shared" ref="I395" si="186">I396+I399+I402+I405+I408+I411+I414+I417+I420</f>
        <v>345134.90049000003</v>
      </c>
      <c r="J395" s="108">
        <f t="shared" si="165"/>
        <v>98.858247844084858</v>
      </c>
    </row>
    <row r="396" spans="1:10" s="174" customFormat="1" x14ac:dyDescent="0.2">
      <c r="A396" s="134" t="s">
        <v>604</v>
      </c>
      <c r="B396" s="104" t="s">
        <v>416</v>
      </c>
      <c r="C396" s="104" t="s">
        <v>469</v>
      </c>
      <c r="D396" s="104" t="s">
        <v>605</v>
      </c>
      <c r="E396" s="104"/>
      <c r="F396" s="105">
        <f>F397</f>
        <v>31000</v>
      </c>
      <c r="G396" s="147">
        <f t="shared" si="173"/>
        <v>-14315.2</v>
      </c>
      <c r="H396" s="105">
        <f>H397</f>
        <v>16684.8</v>
      </c>
      <c r="I396" s="105">
        <f t="shared" ref="I396:I397" si="187">I397</f>
        <v>14433.155000000001</v>
      </c>
      <c r="J396" s="105">
        <f t="shared" si="165"/>
        <v>86.50481276371309</v>
      </c>
    </row>
    <row r="397" spans="1:10" s="174" customFormat="1" x14ac:dyDescent="0.2">
      <c r="A397" s="112" t="s">
        <v>294</v>
      </c>
      <c r="B397" s="113" t="s">
        <v>416</v>
      </c>
      <c r="C397" s="113" t="s">
        <v>469</v>
      </c>
      <c r="D397" s="113" t="s">
        <v>605</v>
      </c>
      <c r="E397" s="113" t="s">
        <v>84</v>
      </c>
      <c r="F397" s="114">
        <f>F398</f>
        <v>31000</v>
      </c>
      <c r="G397" s="147">
        <f t="shared" si="173"/>
        <v>-14315.2</v>
      </c>
      <c r="H397" s="114">
        <f>H398</f>
        <v>16684.8</v>
      </c>
      <c r="I397" s="114">
        <f t="shared" si="187"/>
        <v>14433.155000000001</v>
      </c>
      <c r="J397" s="114">
        <f t="shared" si="165"/>
        <v>86.50481276371309</v>
      </c>
    </row>
    <row r="398" spans="1:10" s="174" customFormat="1" x14ac:dyDescent="0.2">
      <c r="A398" s="112" t="s">
        <v>85</v>
      </c>
      <c r="B398" s="113" t="s">
        <v>416</v>
      </c>
      <c r="C398" s="113" t="s">
        <v>469</v>
      </c>
      <c r="D398" s="113" t="s">
        <v>605</v>
      </c>
      <c r="E398" s="113" t="s">
        <v>86</v>
      </c>
      <c r="F398" s="114">
        <v>31000</v>
      </c>
      <c r="G398" s="147">
        <f t="shared" si="173"/>
        <v>-14315.2</v>
      </c>
      <c r="H398" s="114">
        <f>31000-0.5-6714.7-10000+400+2000</f>
        <v>16684.8</v>
      </c>
      <c r="I398" s="114">
        <v>14433.155000000001</v>
      </c>
      <c r="J398" s="114">
        <f t="shared" si="165"/>
        <v>86.50481276371309</v>
      </c>
    </row>
    <row r="399" spans="1:10" s="174" customFormat="1" x14ac:dyDescent="0.2">
      <c r="A399" s="134" t="s">
        <v>342</v>
      </c>
      <c r="B399" s="104" t="s">
        <v>416</v>
      </c>
      <c r="C399" s="104" t="s">
        <v>469</v>
      </c>
      <c r="D399" s="104" t="s">
        <v>606</v>
      </c>
      <c r="E399" s="104"/>
      <c r="F399" s="105">
        <f>F400</f>
        <v>2000</v>
      </c>
      <c r="G399" s="147">
        <f t="shared" si="173"/>
        <v>-1000</v>
      </c>
      <c r="H399" s="105">
        <f>H400</f>
        <v>1000</v>
      </c>
      <c r="I399" s="105">
        <f t="shared" ref="I399:I400" si="188">I400</f>
        <v>997.34699999999998</v>
      </c>
      <c r="J399" s="105">
        <f t="shared" si="165"/>
        <v>99.734700000000004</v>
      </c>
    </row>
    <row r="400" spans="1:10" s="174" customFormat="1" x14ac:dyDescent="0.2">
      <c r="A400" s="112" t="s">
        <v>294</v>
      </c>
      <c r="B400" s="113" t="s">
        <v>416</v>
      </c>
      <c r="C400" s="113" t="s">
        <v>469</v>
      </c>
      <c r="D400" s="113" t="s">
        <v>606</v>
      </c>
      <c r="E400" s="113" t="s">
        <v>84</v>
      </c>
      <c r="F400" s="114">
        <f>F401</f>
        <v>2000</v>
      </c>
      <c r="G400" s="147">
        <f t="shared" si="173"/>
        <v>-1000</v>
      </c>
      <c r="H400" s="114">
        <f>H401</f>
        <v>1000</v>
      </c>
      <c r="I400" s="114">
        <f t="shared" si="188"/>
        <v>997.34699999999998</v>
      </c>
      <c r="J400" s="105">
        <f t="shared" si="165"/>
        <v>99.734700000000004</v>
      </c>
    </row>
    <row r="401" spans="1:10" s="174" customFormat="1" x14ac:dyDescent="0.2">
      <c r="A401" s="112" t="s">
        <v>85</v>
      </c>
      <c r="B401" s="113" t="s">
        <v>416</v>
      </c>
      <c r="C401" s="113" t="s">
        <v>469</v>
      </c>
      <c r="D401" s="113" t="s">
        <v>606</v>
      </c>
      <c r="E401" s="113" t="s">
        <v>86</v>
      </c>
      <c r="F401" s="114">
        <v>2000</v>
      </c>
      <c r="G401" s="147">
        <f t="shared" si="173"/>
        <v>-1000</v>
      </c>
      <c r="H401" s="114">
        <f>2000-1000</f>
        <v>1000</v>
      </c>
      <c r="I401" s="114">
        <v>997.34699999999998</v>
      </c>
      <c r="J401" s="105">
        <f t="shared" si="165"/>
        <v>99.734700000000004</v>
      </c>
    </row>
    <row r="402" spans="1:10" s="174" customFormat="1" x14ac:dyDescent="0.2">
      <c r="A402" s="103" t="s">
        <v>343</v>
      </c>
      <c r="B402" s="104" t="s">
        <v>416</v>
      </c>
      <c r="C402" s="104" t="s">
        <v>469</v>
      </c>
      <c r="D402" s="104" t="s">
        <v>607</v>
      </c>
      <c r="E402" s="104"/>
      <c r="F402" s="105">
        <f>F403</f>
        <v>2000</v>
      </c>
      <c r="G402" s="147">
        <f t="shared" si="173"/>
        <v>0</v>
      </c>
      <c r="H402" s="105">
        <f>H403</f>
        <v>2000</v>
      </c>
      <c r="I402" s="105">
        <f t="shared" ref="I402:I403" si="189">I403</f>
        <v>593.95000000000005</v>
      </c>
      <c r="J402" s="105">
        <f t="shared" si="165"/>
        <v>29.697500000000005</v>
      </c>
    </row>
    <row r="403" spans="1:10" s="174" customFormat="1" x14ac:dyDescent="0.2">
      <c r="A403" s="112" t="s">
        <v>294</v>
      </c>
      <c r="B403" s="113" t="s">
        <v>416</v>
      </c>
      <c r="C403" s="113" t="s">
        <v>469</v>
      </c>
      <c r="D403" s="113" t="s">
        <v>607</v>
      </c>
      <c r="E403" s="113" t="s">
        <v>84</v>
      </c>
      <c r="F403" s="114">
        <f>F404</f>
        <v>2000</v>
      </c>
      <c r="G403" s="147">
        <f t="shared" si="173"/>
        <v>0</v>
      </c>
      <c r="H403" s="114">
        <f>H404</f>
        <v>2000</v>
      </c>
      <c r="I403" s="114">
        <f t="shared" si="189"/>
        <v>593.95000000000005</v>
      </c>
      <c r="J403" s="114">
        <f t="shared" si="165"/>
        <v>29.697500000000005</v>
      </c>
    </row>
    <row r="404" spans="1:10" s="174" customFormat="1" x14ac:dyDescent="0.2">
      <c r="A404" s="112" t="s">
        <v>85</v>
      </c>
      <c r="B404" s="113" t="s">
        <v>416</v>
      </c>
      <c r="C404" s="113" t="s">
        <v>469</v>
      </c>
      <c r="D404" s="113" t="s">
        <v>607</v>
      </c>
      <c r="E404" s="113" t="s">
        <v>86</v>
      </c>
      <c r="F404" s="114">
        <v>2000</v>
      </c>
      <c r="G404" s="147">
        <f t="shared" si="173"/>
        <v>0</v>
      </c>
      <c r="H404" s="114">
        <v>2000</v>
      </c>
      <c r="I404" s="114">
        <v>593.95000000000005</v>
      </c>
      <c r="J404" s="114">
        <f t="shared" si="165"/>
        <v>29.697500000000005</v>
      </c>
    </row>
    <row r="405" spans="1:10" s="174" customFormat="1" ht="24" x14ac:dyDescent="0.2">
      <c r="A405" s="134" t="s">
        <v>330</v>
      </c>
      <c r="B405" s="104" t="s">
        <v>416</v>
      </c>
      <c r="C405" s="104" t="s">
        <v>469</v>
      </c>
      <c r="D405" s="104" t="s">
        <v>608</v>
      </c>
      <c r="E405" s="104"/>
      <c r="F405" s="105">
        <f>F406</f>
        <v>2000</v>
      </c>
      <c r="G405" s="147">
        <f t="shared" si="173"/>
        <v>0</v>
      </c>
      <c r="H405" s="105">
        <f>H406</f>
        <v>2000</v>
      </c>
      <c r="I405" s="105">
        <f t="shared" ref="I405:I406" si="190">I406</f>
        <v>1998.9490000000001</v>
      </c>
      <c r="J405" s="105">
        <f t="shared" si="165"/>
        <v>99.947450000000003</v>
      </c>
    </row>
    <row r="406" spans="1:10" s="174" customFormat="1" x14ac:dyDescent="0.2">
      <c r="A406" s="112" t="s">
        <v>294</v>
      </c>
      <c r="B406" s="113" t="s">
        <v>416</v>
      </c>
      <c r="C406" s="113" t="s">
        <v>469</v>
      </c>
      <c r="D406" s="113" t="s">
        <v>608</v>
      </c>
      <c r="E406" s="113" t="s">
        <v>84</v>
      </c>
      <c r="F406" s="114">
        <f>F407</f>
        <v>2000</v>
      </c>
      <c r="G406" s="147">
        <f t="shared" si="173"/>
        <v>0</v>
      </c>
      <c r="H406" s="114">
        <f>H407</f>
        <v>2000</v>
      </c>
      <c r="I406" s="114">
        <f t="shared" si="190"/>
        <v>1998.9490000000001</v>
      </c>
      <c r="J406" s="114">
        <f t="shared" si="165"/>
        <v>99.947450000000003</v>
      </c>
    </row>
    <row r="407" spans="1:10" s="174" customFormat="1" x14ac:dyDescent="0.2">
      <c r="A407" s="112" t="s">
        <v>85</v>
      </c>
      <c r="B407" s="113" t="s">
        <v>416</v>
      </c>
      <c r="C407" s="113" t="s">
        <v>469</v>
      </c>
      <c r="D407" s="113" t="s">
        <v>608</v>
      </c>
      <c r="E407" s="113" t="s">
        <v>86</v>
      </c>
      <c r="F407" s="114">
        <v>2000</v>
      </c>
      <c r="G407" s="147">
        <f t="shared" si="173"/>
        <v>0</v>
      </c>
      <c r="H407" s="114">
        <v>2000</v>
      </c>
      <c r="I407" s="114">
        <v>1998.9490000000001</v>
      </c>
      <c r="J407" s="114">
        <f t="shared" si="165"/>
        <v>99.947450000000003</v>
      </c>
    </row>
    <row r="408" spans="1:10" s="174" customFormat="1" x14ac:dyDescent="0.2">
      <c r="A408" s="134" t="s">
        <v>331</v>
      </c>
      <c r="B408" s="104" t="s">
        <v>416</v>
      </c>
      <c r="C408" s="104" t="s">
        <v>469</v>
      </c>
      <c r="D408" s="143" t="s">
        <v>609</v>
      </c>
      <c r="E408" s="143"/>
      <c r="F408" s="105">
        <f>F409</f>
        <v>2000</v>
      </c>
      <c r="G408" s="147">
        <f t="shared" si="173"/>
        <v>-800</v>
      </c>
      <c r="H408" s="105">
        <f>H409</f>
        <v>1200</v>
      </c>
      <c r="I408" s="105">
        <f t="shared" ref="I408:I409" si="191">I409</f>
        <v>1198.32</v>
      </c>
      <c r="J408" s="105">
        <f t="shared" si="165"/>
        <v>99.86</v>
      </c>
    </row>
    <row r="409" spans="1:10" s="174" customFormat="1" x14ac:dyDescent="0.2">
      <c r="A409" s="112" t="s">
        <v>159</v>
      </c>
      <c r="B409" s="113" t="s">
        <v>416</v>
      </c>
      <c r="C409" s="113" t="s">
        <v>469</v>
      </c>
      <c r="D409" s="130" t="s">
        <v>609</v>
      </c>
      <c r="E409" s="113" t="s">
        <v>84</v>
      </c>
      <c r="F409" s="114">
        <f>F410</f>
        <v>2000</v>
      </c>
      <c r="G409" s="147">
        <f t="shared" si="173"/>
        <v>-800</v>
      </c>
      <c r="H409" s="114">
        <f>H410</f>
        <v>1200</v>
      </c>
      <c r="I409" s="114">
        <f t="shared" si="191"/>
        <v>1198.32</v>
      </c>
      <c r="J409" s="114">
        <f t="shared" si="165"/>
        <v>99.86</v>
      </c>
    </row>
    <row r="410" spans="1:10" s="174" customFormat="1" x14ac:dyDescent="0.2">
      <c r="A410" s="112" t="s">
        <v>85</v>
      </c>
      <c r="B410" s="113" t="s">
        <v>416</v>
      </c>
      <c r="C410" s="113" t="s">
        <v>469</v>
      </c>
      <c r="D410" s="130" t="s">
        <v>609</v>
      </c>
      <c r="E410" s="113" t="s">
        <v>86</v>
      </c>
      <c r="F410" s="114">
        <v>2000</v>
      </c>
      <c r="G410" s="147">
        <f t="shared" si="173"/>
        <v>-800</v>
      </c>
      <c r="H410" s="114">
        <f>2000-800</f>
        <v>1200</v>
      </c>
      <c r="I410" s="114">
        <v>1198.32</v>
      </c>
      <c r="J410" s="114">
        <f t="shared" si="165"/>
        <v>99.86</v>
      </c>
    </row>
    <row r="411" spans="1:10" s="174" customFormat="1" x14ac:dyDescent="0.2">
      <c r="A411" s="103" t="s">
        <v>236</v>
      </c>
      <c r="B411" s="104" t="s">
        <v>416</v>
      </c>
      <c r="C411" s="104" t="s">
        <v>469</v>
      </c>
      <c r="D411" s="104" t="s">
        <v>610</v>
      </c>
      <c r="E411" s="104"/>
      <c r="F411" s="105">
        <f>F412</f>
        <v>80000</v>
      </c>
      <c r="G411" s="147">
        <f t="shared" si="173"/>
        <v>2362</v>
      </c>
      <c r="H411" s="105">
        <f>H412</f>
        <v>82362</v>
      </c>
      <c r="I411" s="105">
        <f t="shared" ref="I411:I412" si="192">I412</f>
        <v>82361.653999999995</v>
      </c>
      <c r="J411" s="105">
        <f t="shared" si="165"/>
        <v>99.999579903353492</v>
      </c>
    </row>
    <row r="412" spans="1:10" s="174" customFormat="1" x14ac:dyDescent="0.2">
      <c r="A412" s="112" t="s">
        <v>294</v>
      </c>
      <c r="B412" s="113" t="s">
        <v>416</v>
      </c>
      <c r="C412" s="113" t="s">
        <v>469</v>
      </c>
      <c r="D412" s="113" t="s">
        <v>610</v>
      </c>
      <c r="E412" s="113" t="s">
        <v>84</v>
      </c>
      <c r="F412" s="114">
        <f>F413</f>
        <v>80000</v>
      </c>
      <c r="G412" s="147">
        <f t="shared" si="173"/>
        <v>2362</v>
      </c>
      <c r="H412" s="114">
        <f>H413</f>
        <v>82362</v>
      </c>
      <c r="I412" s="114">
        <f t="shared" si="192"/>
        <v>82361.653999999995</v>
      </c>
      <c r="J412" s="114">
        <f t="shared" si="165"/>
        <v>99.999579903353492</v>
      </c>
    </row>
    <row r="413" spans="1:10" s="174" customFormat="1" x14ac:dyDescent="0.2">
      <c r="A413" s="112" t="s">
        <v>85</v>
      </c>
      <c r="B413" s="113" t="s">
        <v>416</v>
      </c>
      <c r="C413" s="113" t="s">
        <v>469</v>
      </c>
      <c r="D413" s="113" t="s">
        <v>610</v>
      </c>
      <c r="E413" s="113" t="s">
        <v>86</v>
      </c>
      <c r="F413" s="114">
        <v>80000</v>
      </c>
      <c r="G413" s="147">
        <f t="shared" si="173"/>
        <v>2362</v>
      </c>
      <c r="H413" s="114">
        <f>80000+1400+962</f>
        <v>82362</v>
      </c>
      <c r="I413" s="114">
        <v>82361.653999999995</v>
      </c>
      <c r="J413" s="114">
        <f t="shared" si="165"/>
        <v>99.999579903353492</v>
      </c>
    </row>
    <row r="414" spans="1:10" s="174" customFormat="1" x14ac:dyDescent="0.2">
      <c r="A414" s="103" t="s">
        <v>332</v>
      </c>
      <c r="B414" s="104" t="s">
        <v>416</v>
      </c>
      <c r="C414" s="104" t="s">
        <v>469</v>
      </c>
      <c r="D414" s="104" t="s">
        <v>611</v>
      </c>
      <c r="E414" s="104"/>
      <c r="F414" s="105">
        <f>F415</f>
        <v>26161</v>
      </c>
      <c r="G414" s="147">
        <f t="shared" si="173"/>
        <v>0</v>
      </c>
      <c r="H414" s="105">
        <f>H415</f>
        <v>26161</v>
      </c>
      <c r="I414" s="105">
        <f t="shared" ref="I414:I415" si="193">I415</f>
        <v>26045.143189999999</v>
      </c>
      <c r="J414" s="105">
        <f t="shared" si="165"/>
        <v>99.557139214861806</v>
      </c>
    </row>
    <row r="415" spans="1:10" s="174" customFormat="1" x14ac:dyDescent="0.2">
      <c r="A415" s="112" t="s">
        <v>294</v>
      </c>
      <c r="B415" s="113" t="s">
        <v>416</v>
      </c>
      <c r="C415" s="113" t="s">
        <v>469</v>
      </c>
      <c r="D415" s="113" t="s">
        <v>611</v>
      </c>
      <c r="E415" s="113" t="s">
        <v>84</v>
      </c>
      <c r="F415" s="114">
        <f>F416</f>
        <v>26161</v>
      </c>
      <c r="G415" s="147">
        <f t="shared" si="173"/>
        <v>0</v>
      </c>
      <c r="H415" s="114">
        <f>H416</f>
        <v>26161</v>
      </c>
      <c r="I415" s="114">
        <f t="shared" si="193"/>
        <v>26045.143189999999</v>
      </c>
      <c r="J415" s="114">
        <f t="shared" si="165"/>
        <v>99.557139214861806</v>
      </c>
    </row>
    <row r="416" spans="1:10" s="174" customFormat="1" x14ac:dyDescent="0.2">
      <c r="A416" s="112" t="s">
        <v>85</v>
      </c>
      <c r="B416" s="113" t="s">
        <v>416</v>
      </c>
      <c r="C416" s="113" t="s">
        <v>469</v>
      </c>
      <c r="D416" s="113" t="s">
        <v>611</v>
      </c>
      <c r="E416" s="113" t="s">
        <v>86</v>
      </c>
      <c r="F416" s="114">
        <v>26161</v>
      </c>
      <c r="G416" s="147">
        <f t="shared" si="173"/>
        <v>0</v>
      </c>
      <c r="H416" s="114">
        <v>26161</v>
      </c>
      <c r="I416" s="114">
        <v>26045.143189999999</v>
      </c>
      <c r="J416" s="114">
        <f t="shared" si="165"/>
        <v>99.557139214861806</v>
      </c>
    </row>
    <row r="417" spans="1:10" s="174" customFormat="1" ht="24" x14ac:dyDescent="0.2">
      <c r="A417" s="103" t="s">
        <v>255</v>
      </c>
      <c r="B417" s="104" t="s">
        <v>416</v>
      </c>
      <c r="C417" s="104" t="s">
        <v>469</v>
      </c>
      <c r="D417" s="104" t="s">
        <v>612</v>
      </c>
      <c r="E417" s="104"/>
      <c r="F417" s="105">
        <f>F418</f>
        <v>171000</v>
      </c>
      <c r="G417" s="147">
        <f t="shared" si="173"/>
        <v>34791.196999999986</v>
      </c>
      <c r="H417" s="105">
        <f>H418</f>
        <v>205791.19699999999</v>
      </c>
      <c r="I417" s="105">
        <f t="shared" ref="I417:I418" si="194">I418</f>
        <v>205586.21046</v>
      </c>
      <c r="J417" s="105">
        <f t="shared" ref="J417:J480" si="195">I417/H417*100</f>
        <v>99.900391006521048</v>
      </c>
    </row>
    <row r="418" spans="1:10" s="174" customFormat="1" x14ac:dyDescent="0.2">
      <c r="A418" s="112" t="s">
        <v>104</v>
      </c>
      <c r="B418" s="113" t="s">
        <v>416</v>
      </c>
      <c r="C418" s="113" t="s">
        <v>469</v>
      </c>
      <c r="D418" s="113" t="s">
        <v>612</v>
      </c>
      <c r="E418" s="113" t="s">
        <v>391</v>
      </c>
      <c r="F418" s="114">
        <f>F419</f>
        <v>171000</v>
      </c>
      <c r="G418" s="148">
        <f t="shared" si="173"/>
        <v>34791.196999999986</v>
      </c>
      <c r="H418" s="114">
        <f>H419</f>
        <v>205791.19699999999</v>
      </c>
      <c r="I418" s="114">
        <f t="shared" si="194"/>
        <v>205586.21046</v>
      </c>
      <c r="J418" s="114">
        <f t="shared" si="195"/>
        <v>99.900391006521048</v>
      </c>
    </row>
    <row r="419" spans="1:10" s="174" customFormat="1" x14ac:dyDescent="0.2">
      <c r="A419" s="112" t="s">
        <v>105</v>
      </c>
      <c r="B419" s="113" t="s">
        <v>416</v>
      </c>
      <c r="C419" s="113" t="s">
        <v>469</v>
      </c>
      <c r="D419" s="113" t="s">
        <v>612</v>
      </c>
      <c r="E419" s="113" t="s">
        <v>409</v>
      </c>
      <c r="F419" s="114">
        <f>164000+7000</f>
        <v>171000</v>
      </c>
      <c r="G419" s="148">
        <f t="shared" si="173"/>
        <v>34791.196999999986</v>
      </c>
      <c r="H419" s="114">
        <f>164000+7000+37000-2208.803</f>
        <v>205791.19699999999</v>
      </c>
      <c r="I419" s="114">
        <v>205586.21046</v>
      </c>
      <c r="J419" s="114">
        <f t="shared" si="195"/>
        <v>99.900391006521048</v>
      </c>
    </row>
    <row r="420" spans="1:10" s="174" customFormat="1" x14ac:dyDescent="0.2">
      <c r="A420" s="103" t="s">
        <v>244</v>
      </c>
      <c r="B420" s="104" t="s">
        <v>416</v>
      </c>
      <c r="C420" s="104" t="s">
        <v>469</v>
      </c>
      <c r="D420" s="104" t="s">
        <v>613</v>
      </c>
      <c r="E420" s="104"/>
      <c r="F420" s="127">
        <f>F421</f>
        <v>48922</v>
      </c>
      <c r="G420" s="147">
        <f t="shared" si="173"/>
        <v>-37000</v>
      </c>
      <c r="H420" s="127">
        <f>H421</f>
        <v>11922</v>
      </c>
      <c r="I420" s="127">
        <f t="shared" ref="I420:I421" si="196">I421</f>
        <v>11920.171840000001</v>
      </c>
      <c r="J420" s="105">
        <f t="shared" si="195"/>
        <v>99.984665660124151</v>
      </c>
    </row>
    <row r="421" spans="1:10" s="174" customFormat="1" x14ac:dyDescent="0.2">
      <c r="A421" s="112" t="s">
        <v>294</v>
      </c>
      <c r="B421" s="113" t="s">
        <v>416</v>
      </c>
      <c r="C421" s="113" t="s">
        <v>469</v>
      </c>
      <c r="D421" s="113" t="s">
        <v>613</v>
      </c>
      <c r="E421" s="113" t="s">
        <v>84</v>
      </c>
      <c r="F421" s="128">
        <f>F422</f>
        <v>48922</v>
      </c>
      <c r="G421" s="148">
        <f t="shared" si="173"/>
        <v>-37000</v>
      </c>
      <c r="H421" s="128">
        <f>H422</f>
        <v>11922</v>
      </c>
      <c r="I421" s="128">
        <f t="shared" si="196"/>
        <v>11920.171840000001</v>
      </c>
      <c r="J421" s="105">
        <f t="shared" si="195"/>
        <v>99.984665660124151</v>
      </c>
    </row>
    <row r="422" spans="1:10" s="174" customFormat="1" x14ac:dyDescent="0.2">
      <c r="A422" s="112" t="s">
        <v>85</v>
      </c>
      <c r="B422" s="113" t="s">
        <v>416</v>
      </c>
      <c r="C422" s="113" t="s">
        <v>469</v>
      </c>
      <c r="D422" s="113" t="s">
        <v>613</v>
      </c>
      <c r="E422" s="113" t="s">
        <v>86</v>
      </c>
      <c r="F422" s="128">
        <v>48922</v>
      </c>
      <c r="G422" s="148">
        <f t="shared" si="173"/>
        <v>-37000</v>
      </c>
      <c r="H422" s="128">
        <f>48922-37000</f>
        <v>11922</v>
      </c>
      <c r="I422" s="128">
        <v>11920.171840000001</v>
      </c>
      <c r="J422" s="105">
        <f t="shared" si="195"/>
        <v>99.984665660124151</v>
      </c>
    </row>
    <row r="423" spans="1:10" s="174" customFormat="1" ht="27" x14ac:dyDescent="0.2">
      <c r="A423" s="116" t="s">
        <v>677</v>
      </c>
      <c r="B423" s="107" t="s">
        <v>416</v>
      </c>
      <c r="C423" s="107" t="s">
        <v>469</v>
      </c>
      <c r="D423" s="107" t="s">
        <v>237</v>
      </c>
      <c r="E423" s="107"/>
      <c r="F423" s="108">
        <f>F424</f>
        <v>141385</v>
      </c>
      <c r="G423" s="147">
        <f t="shared" si="173"/>
        <v>444.89999999999418</v>
      </c>
      <c r="H423" s="108">
        <f>H424</f>
        <v>141829.9</v>
      </c>
      <c r="I423" s="108">
        <f t="shared" ref="I423" si="197">I424</f>
        <v>131487.86611999999</v>
      </c>
      <c r="J423" s="119">
        <f t="shared" si="195"/>
        <v>92.708142725899123</v>
      </c>
    </row>
    <row r="424" spans="1:10" s="174" customFormat="1" x14ac:dyDescent="0.2">
      <c r="A424" s="103" t="s">
        <v>434</v>
      </c>
      <c r="B424" s="104" t="s">
        <v>416</v>
      </c>
      <c r="C424" s="104" t="s">
        <v>469</v>
      </c>
      <c r="D424" s="104" t="s">
        <v>126</v>
      </c>
      <c r="E424" s="104"/>
      <c r="F424" s="105">
        <f>F425+F428+F431</f>
        <v>141385</v>
      </c>
      <c r="G424" s="147">
        <f t="shared" si="173"/>
        <v>444.89999999999418</v>
      </c>
      <c r="H424" s="105">
        <f>H425+H428+H431</f>
        <v>141829.9</v>
      </c>
      <c r="I424" s="105">
        <f t="shared" ref="I424" si="198">I425+I428+I431</f>
        <v>131487.86611999999</v>
      </c>
      <c r="J424" s="105">
        <f t="shared" si="195"/>
        <v>92.708142725899123</v>
      </c>
    </row>
    <row r="425" spans="1:10" s="174" customFormat="1" x14ac:dyDescent="0.2">
      <c r="A425" s="117" t="s">
        <v>60</v>
      </c>
      <c r="B425" s="118" t="s">
        <v>416</v>
      </c>
      <c r="C425" s="118" t="s">
        <v>469</v>
      </c>
      <c r="D425" s="118" t="s">
        <v>645</v>
      </c>
      <c r="E425" s="132"/>
      <c r="F425" s="119">
        <f>F426</f>
        <v>22385</v>
      </c>
      <c r="G425" s="147">
        <f t="shared" si="173"/>
        <v>444.90000000000146</v>
      </c>
      <c r="H425" s="119">
        <f>H426</f>
        <v>22829.9</v>
      </c>
      <c r="I425" s="119">
        <f t="shared" ref="I425:I426" si="199">I426</f>
        <v>22828.313419999999</v>
      </c>
      <c r="J425" s="119">
        <f t="shared" si="195"/>
        <v>99.993050429480618</v>
      </c>
    </row>
    <row r="426" spans="1:10" s="174" customFormat="1" x14ac:dyDescent="0.2">
      <c r="A426" s="112" t="s">
        <v>104</v>
      </c>
      <c r="B426" s="113" t="s">
        <v>416</v>
      </c>
      <c r="C426" s="113" t="s">
        <v>469</v>
      </c>
      <c r="D426" s="113" t="s">
        <v>645</v>
      </c>
      <c r="E426" s="113" t="s">
        <v>391</v>
      </c>
      <c r="F426" s="114">
        <f>F427</f>
        <v>22385</v>
      </c>
      <c r="G426" s="147">
        <f t="shared" si="173"/>
        <v>444.90000000000146</v>
      </c>
      <c r="H426" s="114">
        <f>H427</f>
        <v>22829.9</v>
      </c>
      <c r="I426" s="114">
        <f t="shared" si="199"/>
        <v>22828.313419999999</v>
      </c>
      <c r="J426" s="114">
        <f t="shared" si="195"/>
        <v>99.993050429480618</v>
      </c>
    </row>
    <row r="427" spans="1:10" s="174" customFormat="1" x14ac:dyDescent="0.2">
      <c r="A427" s="112" t="s">
        <v>105</v>
      </c>
      <c r="B427" s="113" t="s">
        <v>416</v>
      </c>
      <c r="C427" s="113" t="s">
        <v>469</v>
      </c>
      <c r="D427" s="113" t="s">
        <v>645</v>
      </c>
      <c r="E427" s="113" t="s">
        <v>409</v>
      </c>
      <c r="F427" s="114">
        <v>22385</v>
      </c>
      <c r="G427" s="147">
        <f t="shared" si="173"/>
        <v>444.90000000000146</v>
      </c>
      <c r="H427" s="114">
        <f>22385+444.9</f>
        <v>22829.9</v>
      </c>
      <c r="I427" s="114">
        <v>22828.313419999999</v>
      </c>
      <c r="J427" s="114">
        <f t="shared" si="195"/>
        <v>99.993050429480618</v>
      </c>
    </row>
    <row r="428" spans="1:10" s="174" customFormat="1" ht="36" x14ac:dyDescent="0.2">
      <c r="A428" s="133" t="s">
        <v>348</v>
      </c>
      <c r="B428" s="118" t="s">
        <v>416</v>
      </c>
      <c r="C428" s="118" t="s">
        <v>469</v>
      </c>
      <c r="D428" s="118" t="s">
        <v>648</v>
      </c>
      <c r="E428" s="118"/>
      <c r="F428" s="129">
        <f>F429</f>
        <v>34000</v>
      </c>
      <c r="G428" s="147">
        <f t="shared" si="173"/>
        <v>0</v>
      </c>
      <c r="H428" s="129">
        <f>H429</f>
        <v>34000</v>
      </c>
      <c r="I428" s="129">
        <f t="shared" ref="I428:I429" si="200">I429</f>
        <v>34000</v>
      </c>
      <c r="J428" s="119">
        <f t="shared" si="195"/>
        <v>100</v>
      </c>
    </row>
    <row r="429" spans="1:10" s="174" customFormat="1" x14ac:dyDescent="0.2">
      <c r="A429" s="112" t="s">
        <v>87</v>
      </c>
      <c r="B429" s="113" t="s">
        <v>416</v>
      </c>
      <c r="C429" s="113" t="s">
        <v>469</v>
      </c>
      <c r="D429" s="113" t="s">
        <v>648</v>
      </c>
      <c r="E429" s="113" t="s">
        <v>88</v>
      </c>
      <c r="F429" s="128">
        <f>F430</f>
        <v>34000</v>
      </c>
      <c r="G429" s="147">
        <f t="shared" ref="G429:G501" si="201">H429-F429</f>
        <v>0</v>
      </c>
      <c r="H429" s="128">
        <f>H430</f>
        <v>34000</v>
      </c>
      <c r="I429" s="128">
        <f t="shared" si="200"/>
        <v>34000</v>
      </c>
      <c r="J429" s="114">
        <f t="shared" si="195"/>
        <v>100</v>
      </c>
    </row>
    <row r="430" spans="1:10" s="174" customFormat="1" ht="24" x14ac:dyDescent="0.2">
      <c r="A430" s="112" t="s">
        <v>499</v>
      </c>
      <c r="B430" s="113" t="s">
        <v>416</v>
      </c>
      <c r="C430" s="113" t="s">
        <v>469</v>
      </c>
      <c r="D430" s="113" t="s">
        <v>648</v>
      </c>
      <c r="E430" s="113" t="s">
        <v>414</v>
      </c>
      <c r="F430" s="128">
        <v>34000</v>
      </c>
      <c r="G430" s="147">
        <f t="shared" si="201"/>
        <v>0</v>
      </c>
      <c r="H430" s="128">
        <v>34000</v>
      </c>
      <c r="I430" s="128">
        <v>34000</v>
      </c>
      <c r="J430" s="114">
        <f t="shared" si="195"/>
        <v>100</v>
      </c>
    </row>
    <row r="431" spans="1:10" s="174" customFormat="1" x14ac:dyDescent="0.2">
      <c r="A431" s="117" t="s">
        <v>243</v>
      </c>
      <c r="B431" s="118" t="s">
        <v>416</v>
      </c>
      <c r="C431" s="118" t="s">
        <v>469</v>
      </c>
      <c r="D431" s="118" t="s">
        <v>649</v>
      </c>
      <c r="E431" s="118"/>
      <c r="F431" s="119">
        <f>F432</f>
        <v>85000</v>
      </c>
      <c r="G431" s="147">
        <f t="shared" si="201"/>
        <v>0</v>
      </c>
      <c r="H431" s="119">
        <f>H432</f>
        <v>85000</v>
      </c>
      <c r="I431" s="119">
        <f t="shared" ref="I431:I432" si="202">I432</f>
        <v>74659.5527</v>
      </c>
      <c r="J431" s="119">
        <f t="shared" si="195"/>
        <v>87.834767882352935</v>
      </c>
    </row>
    <row r="432" spans="1:10" s="174" customFormat="1" x14ac:dyDescent="0.2">
      <c r="A432" s="112" t="s">
        <v>294</v>
      </c>
      <c r="B432" s="113" t="s">
        <v>416</v>
      </c>
      <c r="C432" s="113" t="s">
        <v>469</v>
      </c>
      <c r="D432" s="113" t="s">
        <v>649</v>
      </c>
      <c r="E432" s="113" t="s">
        <v>84</v>
      </c>
      <c r="F432" s="114">
        <f>F433</f>
        <v>85000</v>
      </c>
      <c r="G432" s="147">
        <f t="shared" si="201"/>
        <v>0</v>
      </c>
      <c r="H432" s="114">
        <f>H433</f>
        <v>85000</v>
      </c>
      <c r="I432" s="114">
        <f t="shared" si="202"/>
        <v>74659.5527</v>
      </c>
      <c r="J432" s="114">
        <f t="shared" si="195"/>
        <v>87.834767882352935</v>
      </c>
    </row>
    <row r="433" spans="1:10" s="174" customFormat="1" x14ac:dyDescent="0.2">
      <c r="A433" s="112" t="s">
        <v>85</v>
      </c>
      <c r="B433" s="113" t="s">
        <v>416</v>
      </c>
      <c r="C433" s="113" t="s">
        <v>469</v>
      </c>
      <c r="D433" s="113" t="s">
        <v>649</v>
      </c>
      <c r="E433" s="113" t="s">
        <v>86</v>
      </c>
      <c r="F433" s="114">
        <v>85000</v>
      </c>
      <c r="G433" s="147">
        <f t="shared" si="201"/>
        <v>0</v>
      </c>
      <c r="H433" s="114">
        <v>85000</v>
      </c>
      <c r="I433" s="114">
        <v>74659.5527</v>
      </c>
      <c r="J433" s="114">
        <f t="shared" si="195"/>
        <v>87.834767882352935</v>
      </c>
    </row>
    <row r="434" spans="1:10" s="174" customFormat="1" ht="27" x14ac:dyDescent="0.2">
      <c r="A434" s="116" t="s">
        <v>672</v>
      </c>
      <c r="B434" s="107" t="s">
        <v>416</v>
      </c>
      <c r="C434" s="107" t="s">
        <v>469</v>
      </c>
      <c r="D434" s="107" t="s">
        <v>266</v>
      </c>
      <c r="E434" s="107"/>
      <c r="F434" s="108">
        <f>F435+F438+F441+F444+F447</f>
        <v>114100</v>
      </c>
      <c r="G434" s="145">
        <f t="shared" si="201"/>
        <v>60106.32699999999</v>
      </c>
      <c r="H434" s="108">
        <f>H435+H438+H441+H444+H447+H450</f>
        <v>174206.32699999999</v>
      </c>
      <c r="I434" s="298">
        <f t="shared" ref="I434" si="203">I435+I438+I441+I444+I447+I450</f>
        <v>173758.90580000001</v>
      </c>
      <c r="J434" s="298">
        <f t="shared" si="195"/>
        <v>99.743165929903341</v>
      </c>
    </row>
    <row r="435" spans="1:10" s="174" customFormat="1" x14ac:dyDescent="0.2">
      <c r="A435" s="134" t="s">
        <v>621</v>
      </c>
      <c r="B435" s="104" t="s">
        <v>416</v>
      </c>
      <c r="C435" s="104" t="s">
        <v>469</v>
      </c>
      <c r="D435" s="104" t="s">
        <v>622</v>
      </c>
      <c r="E435" s="104"/>
      <c r="F435" s="105">
        <f>F436</f>
        <v>10000</v>
      </c>
      <c r="G435" s="147">
        <f t="shared" si="201"/>
        <v>0</v>
      </c>
      <c r="H435" s="105">
        <f>H436</f>
        <v>10000</v>
      </c>
      <c r="I435" s="287">
        <f t="shared" ref="I435:I436" si="204">I436</f>
        <v>9814.3773000000001</v>
      </c>
      <c r="J435" s="287">
        <f t="shared" si="195"/>
        <v>98.143772999999996</v>
      </c>
    </row>
    <row r="436" spans="1:10" s="174" customFormat="1" x14ac:dyDescent="0.2">
      <c r="A436" s="112" t="s">
        <v>184</v>
      </c>
      <c r="B436" s="113" t="s">
        <v>416</v>
      </c>
      <c r="C436" s="113" t="s">
        <v>469</v>
      </c>
      <c r="D436" s="113" t="s">
        <v>622</v>
      </c>
      <c r="E436" s="113" t="s">
        <v>84</v>
      </c>
      <c r="F436" s="114">
        <f>F437</f>
        <v>10000</v>
      </c>
      <c r="G436" s="147">
        <f t="shared" si="201"/>
        <v>0</v>
      </c>
      <c r="H436" s="114">
        <f>H437</f>
        <v>10000</v>
      </c>
      <c r="I436" s="212">
        <f t="shared" si="204"/>
        <v>9814.3773000000001</v>
      </c>
      <c r="J436" s="212">
        <f t="shared" si="195"/>
        <v>98.143772999999996</v>
      </c>
    </row>
    <row r="437" spans="1:10" s="174" customFormat="1" x14ac:dyDescent="0.2">
      <c r="A437" s="112" t="s">
        <v>85</v>
      </c>
      <c r="B437" s="113" t="s">
        <v>416</v>
      </c>
      <c r="C437" s="113" t="s">
        <v>469</v>
      </c>
      <c r="D437" s="113" t="s">
        <v>622</v>
      </c>
      <c r="E437" s="113" t="s">
        <v>86</v>
      </c>
      <c r="F437" s="114">
        <v>10000</v>
      </c>
      <c r="G437" s="147">
        <f t="shared" si="201"/>
        <v>0</v>
      </c>
      <c r="H437" s="114">
        <v>10000</v>
      </c>
      <c r="I437" s="114">
        <v>9814.3773000000001</v>
      </c>
      <c r="J437" s="212">
        <f t="shared" si="195"/>
        <v>98.143772999999996</v>
      </c>
    </row>
    <row r="438" spans="1:10" s="174" customFormat="1" x14ac:dyDescent="0.2">
      <c r="A438" s="103" t="s">
        <v>623</v>
      </c>
      <c r="B438" s="104" t="s">
        <v>416</v>
      </c>
      <c r="C438" s="104" t="s">
        <v>469</v>
      </c>
      <c r="D438" s="104" t="s">
        <v>624</v>
      </c>
      <c r="E438" s="104"/>
      <c r="F438" s="105">
        <f>F439</f>
        <v>3600</v>
      </c>
      <c r="G438" s="147">
        <f t="shared" si="201"/>
        <v>-893.67299999999977</v>
      </c>
      <c r="H438" s="105">
        <f>H439</f>
        <v>2706.3270000000002</v>
      </c>
      <c r="I438" s="105">
        <f t="shared" ref="I438:I439" si="205">I439</f>
        <v>2706.3270000000002</v>
      </c>
      <c r="J438" s="105">
        <f t="shared" si="195"/>
        <v>100</v>
      </c>
    </row>
    <row r="439" spans="1:10" s="174" customFormat="1" x14ac:dyDescent="0.2">
      <c r="A439" s="112" t="s">
        <v>184</v>
      </c>
      <c r="B439" s="113" t="s">
        <v>416</v>
      </c>
      <c r="C439" s="113" t="s">
        <v>469</v>
      </c>
      <c r="D439" s="113" t="s">
        <v>624</v>
      </c>
      <c r="E439" s="113" t="s">
        <v>84</v>
      </c>
      <c r="F439" s="114">
        <f>F440</f>
        <v>3600</v>
      </c>
      <c r="G439" s="147">
        <f t="shared" si="201"/>
        <v>-893.67299999999977</v>
      </c>
      <c r="H439" s="114">
        <f>H440</f>
        <v>2706.3270000000002</v>
      </c>
      <c r="I439" s="114">
        <f t="shared" si="205"/>
        <v>2706.3270000000002</v>
      </c>
      <c r="J439" s="114">
        <f t="shared" si="195"/>
        <v>100</v>
      </c>
    </row>
    <row r="440" spans="1:10" s="174" customFormat="1" x14ac:dyDescent="0.2">
      <c r="A440" s="112" t="s">
        <v>85</v>
      </c>
      <c r="B440" s="113" t="s">
        <v>416</v>
      </c>
      <c r="C440" s="113" t="s">
        <v>469</v>
      </c>
      <c r="D440" s="113" t="s">
        <v>624</v>
      </c>
      <c r="E440" s="113" t="s">
        <v>86</v>
      </c>
      <c r="F440" s="114">
        <v>3600</v>
      </c>
      <c r="G440" s="147">
        <f t="shared" si="201"/>
        <v>-893.67299999999977</v>
      </c>
      <c r="H440" s="114">
        <f>3600-893.673</f>
        <v>2706.3270000000002</v>
      </c>
      <c r="I440" s="114">
        <f>3600-893.673</f>
        <v>2706.3270000000002</v>
      </c>
      <c r="J440" s="114">
        <f t="shared" si="195"/>
        <v>100</v>
      </c>
    </row>
    <row r="441" spans="1:10" s="174" customFormat="1" x14ac:dyDescent="0.2">
      <c r="A441" s="134" t="s">
        <v>136</v>
      </c>
      <c r="B441" s="104" t="s">
        <v>416</v>
      </c>
      <c r="C441" s="104" t="s">
        <v>469</v>
      </c>
      <c r="D441" s="104" t="s">
        <v>619</v>
      </c>
      <c r="E441" s="104"/>
      <c r="F441" s="127">
        <f>F442</f>
        <v>500</v>
      </c>
      <c r="G441" s="147">
        <f t="shared" si="201"/>
        <v>0</v>
      </c>
      <c r="H441" s="127">
        <f>H442</f>
        <v>500</v>
      </c>
      <c r="I441" s="127">
        <f t="shared" ref="I441:I442" si="206">I442</f>
        <v>358.37950000000001</v>
      </c>
      <c r="J441" s="105">
        <f t="shared" si="195"/>
        <v>71.675899999999999</v>
      </c>
    </row>
    <row r="442" spans="1:10" s="174" customFormat="1" x14ac:dyDescent="0.2">
      <c r="A442" s="112" t="s">
        <v>294</v>
      </c>
      <c r="B442" s="113" t="s">
        <v>416</v>
      </c>
      <c r="C442" s="113" t="s">
        <v>469</v>
      </c>
      <c r="D442" s="113" t="s">
        <v>619</v>
      </c>
      <c r="E442" s="113" t="s">
        <v>84</v>
      </c>
      <c r="F442" s="128">
        <f>F443</f>
        <v>500</v>
      </c>
      <c r="G442" s="147">
        <f t="shared" si="201"/>
        <v>0</v>
      </c>
      <c r="H442" s="128">
        <f>H443</f>
        <v>500</v>
      </c>
      <c r="I442" s="128">
        <f t="shared" si="206"/>
        <v>358.37950000000001</v>
      </c>
      <c r="J442" s="114">
        <f t="shared" si="195"/>
        <v>71.675899999999999</v>
      </c>
    </row>
    <row r="443" spans="1:10" s="174" customFormat="1" x14ac:dyDescent="0.2">
      <c r="A443" s="112" t="s">
        <v>85</v>
      </c>
      <c r="B443" s="113" t="s">
        <v>416</v>
      </c>
      <c r="C443" s="113" t="s">
        <v>469</v>
      </c>
      <c r="D443" s="113" t="s">
        <v>619</v>
      </c>
      <c r="E443" s="113" t="s">
        <v>86</v>
      </c>
      <c r="F443" s="128">
        <v>500</v>
      </c>
      <c r="G443" s="147">
        <f t="shared" si="201"/>
        <v>0</v>
      </c>
      <c r="H443" s="128">
        <v>500</v>
      </c>
      <c r="I443" s="128">
        <v>358.37950000000001</v>
      </c>
      <c r="J443" s="114">
        <f t="shared" si="195"/>
        <v>71.675899999999999</v>
      </c>
    </row>
    <row r="444" spans="1:10" s="174" customFormat="1" x14ac:dyDescent="0.2">
      <c r="A444" s="103" t="s">
        <v>681</v>
      </c>
      <c r="B444" s="104" t="s">
        <v>416</v>
      </c>
      <c r="C444" s="104" t="s">
        <v>469</v>
      </c>
      <c r="D444" s="104" t="s">
        <v>678</v>
      </c>
      <c r="E444" s="104"/>
      <c r="F444" s="127">
        <f>F445</f>
        <v>100000</v>
      </c>
      <c r="G444" s="147">
        <f t="shared" si="201"/>
        <v>0</v>
      </c>
      <c r="H444" s="127">
        <f>H445</f>
        <v>100000</v>
      </c>
      <c r="I444" s="127">
        <f t="shared" ref="I444:I445" si="207">I445</f>
        <v>100000</v>
      </c>
      <c r="J444" s="105">
        <f t="shared" si="195"/>
        <v>100</v>
      </c>
    </row>
    <row r="445" spans="1:10" s="174" customFormat="1" x14ac:dyDescent="0.2">
      <c r="A445" s="112" t="s">
        <v>184</v>
      </c>
      <c r="B445" s="113" t="s">
        <v>416</v>
      </c>
      <c r="C445" s="113" t="s">
        <v>469</v>
      </c>
      <c r="D445" s="113" t="s">
        <v>678</v>
      </c>
      <c r="E445" s="113" t="s">
        <v>84</v>
      </c>
      <c r="F445" s="128">
        <f>F446</f>
        <v>100000</v>
      </c>
      <c r="G445" s="147">
        <f t="shared" si="201"/>
        <v>0</v>
      </c>
      <c r="H445" s="128">
        <f>H446</f>
        <v>100000</v>
      </c>
      <c r="I445" s="128">
        <f t="shared" si="207"/>
        <v>100000</v>
      </c>
      <c r="J445" s="114">
        <f t="shared" si="195"/>
        <v>100</v>
      </c>
    </row>
    <row r="446" spans="1:10" s="174" customFormat="1" x14ac:dyDescent="0.2">
      <c r="A446" s="112" t="s">
        <v>85</v>
      </c>
      <c r="B446" s="113" t="s">
        <v>416</v>
      </c>
      <c r="C446" s="113" t="s">
        <v>469</v>
      </c>
      <c r="D446" s="113" t="s">
        <v>678</v>
      </c>
      <c r="E446" s="113" t="s">
        <v>86</v>
      </c>
      <c r="F446" s="128">
        <v>100000</v>
      </c>
      <c r="G446" s="147">
        <f t="shared" si="201"/>
        <v>0</v>
      </c>
      <c r="H446" s="128">
        <v>100000</v>
      </c>
      <c r="I446" s="128">
        <v>100000</v>
      </c>
      <c r="J446" s="114">
        <f t="shared" si="195"/>
        <v>100</v>
      </c>
    </row>
    <row r="447" spans="1:10" s="174" customFormat="1" x14ac:dyDescent="0.2">
      <c r="A447" s="103" t="s">
        <v>682</v>
      </c>
      <c r="B447" s="104" t="s">
        <v>416</v>
      </c>
      <c r="C447" s="104" t="s">
        <v>469</v>
      </c>
      <c r="D447" s="104" t="s">
        <v>683</v>
      </c>
      <c r="E447" s="104"/>
      <c r="F447" s="127">
        <f>F448</f>
        <v>0</v>
      </c>
      <c r="G447" s="127">
        <f t="shared" si="201"/>
        <v>50000</v>
      </c>
      <c r="H447" s="127">
        <f>H448</f>
        <v>50000</v>
      </c>
      <c r="I447" s="127">
        <f t="shared" ref="I447:I448" si="208">I448</f>
        <v>49879.822</v>
      </c>
      <c r="J447" s="105">
        <f t="shared" si="195"/>
        <v>99.759644000000009</v>
      </c>
    </row>
    <row r="448" spans="1:10" s="174" customFormat="1" x14ac:dyDescent="0.2">
      <c r="A448" s="112" t="s">
        <v>184</v>
      </c>
      <c r="B448" s="113" t="s">
        <v>416</v>
      </c>
      <c r="C448" s="113" t="s">
        <v>469</v>
      </c>
      <c r="D448" s="113" t="s">
        <v>683</v>
      </c>
      <c r="E448" s="113" t="s">
        <v>84</v>
      </c>
      <c r="F448" s="128">
        <f>F449</f>
        <v>0</v>
      </c>
      <c r="G448" s="128">
        <f t="shared" si="201"/>
        <v>50000</v>
      </c>
      <c r="H448" s="128">
        <f>H449</f>
        <v>50000</v>
      </c>
      <c r="I448" s="128">
        <f t="shared" si="208"/>
        <v>49879.822</v>
      </c>
      <c r="J448" s="114">
        <f t="shared" si="195"/>
        <v>99.759644000000009</v>
      </c>
    </row>
    <row r="449" spans="1:10" s="174" customFormat="1" x14ac:dyDescent="0.2">
      <c r="A449" s="112" t="s">
        <v>85</v>
      </c>
      <c r="B449" s="113" t="s">
        <v>416</v>
      </c>
      <c r="C449" s="113" t="s">
        <v>469</v>
      </c>
      <c r="D449" s="113" t="s">
        <v>683</v>
      </c>
      <c r="E449" s="113" t="s">
        <v>86</v>
      </c>
      <c r="F449" s="128">
        <v>0</v>
      </c>
      <c r="G449" s="128">
        <f t="shared" si="201"/>
        <v>50000</v>
      </c>
      <c r="H449" s="128">
        <v>50000</v>
      </c>
      <c r="I449" s="128">
        <v>49879.822</v>
      </c>
      <c r="J449" s="114">
        <f t="shared" si="195"/>
        <v>99.759644000000009</v>
      </c>
    </row>
    <row r="450" spans="1:10" s="174" customFormat="1" x14ac:dyDescent="0.2">
      <c r="A450" s="103" t="s">
        <v>735</v>
      </c>
      <c r="B450" s="104" t="s">
        <v>416</v>
      </c>
      <c r="C450" s="104" t="s">
        <v>469</v>
      </c>
      <c r="D450" s="104" t="s">
        <v>736</v>
      </c>
      <c r="E450" s="113"/>
      <c r="F450" s="128"/>
      <c r="G450" s="147"/>
      <c r="H450" s="127">
        <f>H451</f>
        <v>11000</v>
      </c>
      <c r="I450" s="127">
        <f t="shared" ref="I450:I451" si="209">I451</f>
        <v>11000</v>
      </c>
      <c r="J450" s="105">
        <f t="shared" si="195"/>
        <v>100</v>
      </c>
    </row>
    <row r="451" spans="1:10" s="174" customFormat="1" x14ac:dyDescent="0.2">
      <c r="A451" s="112" t="s">
        <v>184</v>
      </c>
      <c r="B451" s="113" t="s">
        <v>416</v>
      </c>
      <c r="C451" s="113" t="s">
        <v>469</v>
      </c>
      <c r="D451" s="113" t="s">
        <v>736</v>
      </c>
      <c r="E451" s="113" t="s">
        <v>84</v>
      </c>
      <c r="F451" s="128"/>
      <c r="G451" s="147"/>
      <c r="H451" s="128">
        <f>H452</f>
        <v>11000</v>
      </c>
      <c r="I451" s="128">
        <f t="shared" si="209"/>
        <v>11000</v>
      </c>
      <c r="J451" s="114">
        <f t="shared" si="195"/>
        <v>100</v>
      </c>
    </row>
    <row r="452" spans="1:10" s="174" customFormat="1" x14ac:dyDescent="0.2">
      <c r="A452" s="112" t="s">
        <v>85</v>
      </c>
      <c r="B452" s="113" t="s">
        <v>416</v>
      </c>
      <c r="C452" s="113" t="s">
        <v>469</v>
      </c>
      <c r="D452" s="113" t="s">
        <v>736</v>
      </c>
      <c r="E452" s="113" t="s">
        <v>86</v>
      </c>
      <c r="F452" s="128"/>
      <c r="G452" s="147"/>
      <c r="H452" s="128">
        <v>11000</v>
      </c>
      <c r="I452" s="128">
        <v>11000</v>
      </c>
      <c r="J452" s="114">
        <f t="shared" si="195"/>
        <v>100</v>
      </c>
    </row>
    <row r="453" spans="1:10" s="174" customFormat="1" ht="27" x14ac:dyDescent="0.2">
      <c r="A453" s="116" t="s">
        <v>614</v>
      </c>
      <c r="B453" s="107" t="s">
        <v>416</v>
      </c>
      <c r="C453" s="107" t="s">
        <v>469</v>
      </c>
      <c r="D453" s="142" t="s">
        <v>481</v>
      </c>
      <c r="E453" s="107"/>
      <c r="F453" s="155">
        <f>F457</f>
        <v>8000</v>
      </c>
      <c r="G453" s="147">
        <f t="shared" si="201"/>
        <v>85917.979800000001</v>
      </c>
      <c r="H453" s="155">
        <f>H457+H454</f>
        <v>93917.979800000001</v>
      </c>
      <c r="I453" s="155">
        <f t="shared" ref="I453" si="210">I457+I454</f>
        <v>93917.979000000007</v>
      </c>
      <c r="J453" s="108">
        <f t="shared" si="195"/>
        <v>99.999999148192927</v>
      </c>
    </row>
    <row r="454" spans="1:10" s="174" customFormat="1" ht="13.5" x14ac:dyDescent="0.2">
      <c r="A454" s="103" t="s">
        <v>715</v>
      </c>
      <c r="B454" s="104" t="s">
        <v>416</v>
      </c>
      <c r="C454" s="104" t="s">
        <v>469</v>
      </c>
      <c r="D454" s="135" t="s">
        <v>716</v>
      </c>
      <c r="E454" s="104"/>
      <c r="F454" s="155"/>
      <c r="G454" s="147"/>
      <c r="H454" s="127">
        <f>H455</f>
        <v>85917.979800000001</v>
      </c>
      <c r="I454" s="127">
        <f t="shared" ref="I454:I455" si="211">I455</f>
        <v>85917.979080000005</v>
      </c>
      <c r="J454" s="105">
        <f t="shared" si="195"/>
        <v>99.999999161991468</v>
      </c>
    </row>
    <row r="455" spans="1:10" s="174" customFormat="1" ht="13.5" x14ac:dyDescent="0.2">
      <c r="A455" s="112" t="s">
        <v>294</v>
      </c>
      <c r="B455" s="113" t="s">
        <v>416</v>
      </c>
      <c r="C455" s="113" t="s">
        <v>469</v>
      </c>
      <c r="D455" s="123" t="s">
        <v>716</v>
      </c>
      <c r="E455" s="113" t="s">
        <v>84</v>
      </c>
      <c r="F455" s="155"/>
      <c r="G455" s="147"/>
      <c r="H455" s="128">
        <f>H456</f>
        <v>85917.979800000001</v>
      </c>
      <c r="I455" s="128">
        <f t="shared" si="211"/>
        <v>85917.979080000005</v>
      </c>
      <c r="J455" s="114">
        <f t="shared" si="195"/>
        <v>99.999999161991468</v>
      </c>
    </row>
    <row r="456" spans="1:10" s="174" customFormat="1" ht="13.5" x14ac:dyDescent="0.2">
      <c r="A456" s="112" t="s">
        <v>85</v>
      </c>
      <c r="B456" s="113" t="s">
        <v>416</v>
      </c>
      <c r="C456" s="113" t="s">
        <v>469</v>
      </c>
      <c r="D456" s="123" t="s">
        <v>716</v>
      </c>
      <c r="E456" s="113" t="s">
        <v>86</v>
      </c>
      <c r="F456" s="155"/>
      <c r="G456" s="147"/>
      <c r="H456" s="128">
        <v>85917.979800000001</v>
      </c>
      <c r="I456" s="128">
        <v>85917.979080000005</v>
      </c>
      <c r="J456" s="114">
        <f t="shared" si="195"/>
        <v>99.999999161991468</v>
      </c>
    </row>
    <row r="457" spans="1:10" s="174" customFormat="1" x14ac:dyDescent="0.2">
      <c r="A457" s="103" t="s">
        <v>45</v>
      </c>
      <c r="B457" s="104" t="s">
        <v>416</v>
      </c>
      <c r="C457" s="104" t="s">
        <v>469</v>
      </c>
      <c r="D457" s="135" t="s">
        <v>601</v>
      </c>
      <c r="E457" s="104"/>
      <c r="F457" s="127">
        <f>F458</f>
        <v>8000</v>
      </c>
      <c r="G457" s="147">
        <f t="shared" si="201"/>
        <v>0</v>
      </c>
      <c r="H457" s="127">
        <f>H458</f>
        <v>8000</v>
      </c>
      <c r="I457" s="127">
        <f t="shared" ref="I457:I458" si="212">I458</f>
        <v>7999.9999200000002</v>
      </c>
      <c r="J457" s="105">
        <f t="shared" si="195"/>
        <v>99.999999000000003</v>
      </c>
    </row>
    <row r="458" spans="1:10" s="174" customFormat="1" x14ac:dyDescent="0.2">
      <c r="A458" s="112" t="s">
        <v>294</v>
      </c>
      <c r="B458" s="113" t="s">
        <v>416</v>
      </c>
      <c r="C458" s="113" t="s">
        <v>469</v>
      </c>
      <c r="D458" s="123" t="s">
        <v>601</v>
      </c>
      <c r="E458" s="113" t="s">
        <v>84</v>
      </c>
      <c r="F458" s="128">
        <f>F459</f>
        <v>8000</v>
      </c>
      <c r="G458" s="147">
        <f t="shared" si="201"/>
        <v>0</v>
      </c>
      <c r="H458" s="128">
        <f>H459</f>
        <v>8000</v>
      </c>
      <c r="I458" s="128">
        <f t="shared" si="212"/>
        <v>7999.9999200000002</v>
      </c>
      <c r="J458" s="114">
        <f t="shared" si="195"/>
        <v>99.999999000000003</v>
      </c>
    </row>
    <row r="459" spans="1:10" s="174" customFormat="1" x14ac:dyDescent="0.2">
      <c r="A459" s="112" t="s">
        <v>85</v>
      </c>
      <c r="B459" s="113" t="s">
        <v>416</v>
      </c>
      <c r="C459" s="113" t="s">
        <v>469</v>
      </c>
      <c r="D459" s="123" t="s">
        <v>601</v>
      </c>
      <c r="E459" s="113" t="s">
        <v>86</v>
      </c>
      <c r="F459" s="128">
        <v>8000</v>
      </c>
      <c r="G459" s="147">
        <f t="shared" si="201"/>
        <v>0</v>
      </c>
      <c r="H459" s="128">
        <v>8000</v>
      </c>
      <c r="I459" s="128">
        <v>7999.9999200000002</v>
      </c>
      <c r="J459" s="114">
        <f t="shared" si="195"/>
        <v>99.999999000000003</v>
      </c>
    </row>
    <row r="460" spans="1:10" s="174" customFormat="1" x14ac:dyDescent="0.2">
      <c r="A460" s="138" t="s">
        <v>74</v>
      </c>
      <c r="B460" s="118" t="s">
        <v>416</v>
      </c>
      <c r="C460" s="118" t="s">
        <v>469</v>
      </c>
      <c r="D460" s="118" t="s">
        <v>209</v>
      </c>
      <c r="E460" s="118"/>
      <c r="F460" s="119">
        <f>F461</f>
        <v>5000</v>
      </c>
      <c r="G460" s="147">
        <f t="shared" si="201"/>
        <v>-1545.2150000000001</v>
      </c>
      <c r="H460" s="119">
        <f>H461</f>
        <v>3454.7849999999999</v>
      </c>
      <c r="I460" s="119">
        <f t="shared" ref="I460:I463" si="213">I461</f>
        <v>2977.5718000000002</v>
      </c>
      <c r="J460" s="119">
        <f t="shared" si="195"/>
        <v>86.186891514233167</v>
      </c>
    </row>
    <row r="461" spans="1:10" s="174" customFormat="1" x14ac:dyDescent="0.2">
      <c r="A461" s="103" t="s">
        <v>297</v>
      </c>
      <c r="B461" s="104" t="s">
        <v>416</v>
      </c>
      <c r="C461" s="104" t="s">
        <v>469</v>
      </c>
      <c r="D461" s="104" t="s">
        <v>210</v>
      </c>
      <c r="E461" s="104"/>
      <c r="F461" s="105">
        <f>F462</f>
        <v>5000</v>
      </c>
      <c r="G461" s="147">
        <f t="shared" si="201"/>
        <v>-1545.2150000000001</v>
      </c>
      <c r="H461" s="105">
        <f>H462</f>
        <v>3454.7849999999999</v>
      </c>
      <c r="I461" s="105">
        <f t="shared" si="213"/>
        <v>2977.5718000000002</v>
      </c>
      <c r="J461" s="105">
        <f t="shared" si="195"/>
        <v>86.186891514233167</v>
      </c>
    </row>
    <row r="462" spans="1:10" s="174" customFormat="1" x14ac:dyDescent="0.2">
      <c r="A462" s="103" t="s">
        <v>674</v>
      </c>
      <c r="B462" s="104" t="s">
        <v>416</v>
      </c>
      <c r="C462" s="104" t="s">
        <v>469</v>
      </c>
      <c r="D462" s="135" t="s">
        <v>339</v>
      </c>
      <c r="E462" s="104"/>
      <c r="F462" s="105">
        <f>F463</f>
        <v>5000</v>
      </c>
      <c r="G462" s="147">
        <f t="shared" si="201"/>
        <v>-1545.2150000000001</v>
      </c>
      <c r="H462" s="105">
        <f>H463</f>
        <v>3454.7849999999999</v>
      </c>
      <c r="I462" s="105">
        <f t="shared" si="213"/>
        <v>2977.5718000000002</v>
      </c>
      <c r="J462" s="105">
        <f t="shared" si="195"/>
        <v>86.186891514233167</v>
      </c>
    </row>
    <row r="463" spans="1:10" s="174" customFormat="1" x14ac:dyDescent="0.2">
      <c r="A463" s="112" t="s">
        <v>582</v>
      </c>
      <c r="B463" s="113" t="s">
        <v>416</v>
      </c>
      <c r="C463" s="113" t="s">
        <v>469</v>
      </c>
      <c r="D463" s="123" t="s">
        <v>339</v>
      </c>
      <c r="E463" s="113" t="s">
        <v>84</v>
      </c>
      <c r="F463" s="114">
        <f>F464</f>
        <v>5000</v>
      </c>
      <c r="G463" s="147">
        <f t="shared" si="201"/>
        <v>-1545.2150000000001</v>
      </c>
      <c r="H463" s="114">
        <f>H464</f>
        <v>3454.7849999999999</v>
      </c>
      <c r="I463" s="114">
        <f t="shared" si="213"/>
        <v>2977.5718000000002</v>
      </c>
      <c r="J463" s="114">
        <f t="shared" si="195"/>
        <v>86.186891514233167</v>
      </c>
    </row>
    <row r="464" spans="1:10" s="174" customFormat="1" x14ac:dyDescent="0.2">
      <c r="A464" s="112" t="s">
        <v>85</v>
      </c>
      <c r="B464" s="113" t="s">
        <v>416</v>
      </c>
      <c r="C464" s="113" t="s">
        <v>469</v>
      </c>
      <c r="D464" s="123" t="s">
        <v>339</v>
      </c>
      <c r="E464" s="113" t="s">
        <v>86</v>
      </c>
      <c r="F464" s="114">
        <v>5000</v>
      </c>
      <c r="G464" s="147">
        <f t="shared" si="201"/>
        <v>-1545.2150000000001</v>
      </c>
      <c r="H464" s="114">
        <f>5000-300-795.215-450</f>
        <v>3454.7849999999999</v>
      </c>
      <c r="I464" s="114">
        <v>2977.5718000000002</v>
      </c>
      <c r="J464" s="114">
        <f t="shared" si="195"/>
        <v>86.186891514233167</v>
      </c>
    </row>
    <row r="465" spans="1:10" s="174" customFormat="1" x14ac:dyDescent="0.2">
      <c r="A465" s="103" t="s">
        <v>363</v>
      </c>
      <c r="B465" s="104" t="s">
        <v>416</v>
      </c>
      <c r="C465" s="104" t="s">
        <v>416</v>
      </c>
      <c r="D465" s="104"/>
      <c r="E465" s="104"/>
      <c r="F465" s="105">
        <f>F466+F477+F497</f>
        <v>35071.199999999997</v>
      </c>
      <c r="G465" s="147">
        <f t="shared" si="201"/>
        <v>3409.4947600000014</v>
      </c>
      <c r="H465" s="105">
        <f>H466+H477+H497</f>
        <v>38480.694759999998</v>
      </c>
      <c r="I465" s="105">
        <f>I466+I477+I497</f>
        <v>35817.709280000003</v>
      </c>
      <c r="J465" s="105">
        <f t="shared" si="195"/>
        <v>93.079684510353161</v>
      </c>
    </row>
    <row r="466" spans="1:10" s="174" customFormat="1" ht="13.5" customHeight="1" x14ac:dyDescent="0.2">
      <c r="A466" s="116" t="s">
        <v>602</v>
      </c>
      <c r="B466" s="107" t="s">
        <v>416</v>
      </c>
      <c r="C466" s="107" t="s">
        <v>416</v>
      </c>
      <c r="D466" s="107" t="s">
        <v>249</v>
      </c>
      <c r="E466" s="107"/>
      <c r="F466" s="108">
        <f>F467</f>
        <v>6663</v>
      </c>
      <c r="G466" s="147">
        <f t="shared" si="201"/>
        <v>0</v>
      </c>
      <c r="H466" s="108">
        <f>H467</f>
        <v>6663</v>
      </c>
      <c r="I466" s="108">
        <f>I467</f>
        <v>6659.6762399999998</v>
      </c>
      <c r="J466" s="119">
        <f t="shared" si="195"/>
        <v>99.950116163890129</v>
      </c>
    </row>
    <row r="467" spans="1:10" s="174" customFormat="1" x14ac:dyDescent="0.2">
      <c r="A467" s="120" t="s">
        <v>334</v>
      </c>
      <c r="B467" s="104" t="s">
        <v>416</v>
      </c>
      <c r="C467" s="104" t="s">
        <v>416</v>
      </c>
      <c r="D467" s="104" t="s">
        <v>249</v>
      </c>
      <c r="E467" s="104"/>
      <c r="F467" s="105">
        <f>F468</f>
        <v>6663</v>
      </c>
      <c r="G467" s="147">
        <f t="shared" si="201"/>
        <v>0</v>
      </c>
      <c r="H467" s="105">
        <f>H468</f>
        <v>6663</v>
      </c>
      <c r="I467" s="105">
        <f t="shared" ref="I467" si="214">I468</f>
        <v>6659.6762399999998</v>
      </c>
      <c r="J467" s="105">
        <f t="shared" si="195"/>
        <v>99.950116163890129</v>
      </c>
    </row>
    <row r="468" spans="1:10" s="174" customFormat="1" ht="24" x14ac:dyDescent="0.2">
      <c r="A468" s="117" t="s">
        <v>393</v>
      </c>
      <c r="B468" s="118" t="s">
        <v>416</v>
      </c>
      <c r="C468" s="118" t="s">
        <v>416</v>
      </c>
      <c r="D468" s="118" t="s">
        <v>249</v>
      </c>
      <c r="E468" s="118"/>
      <c r="F468" s="119">
        <f>F469+F472</f>
        <v>6663</v>
      </c>
      <c r="G468" s="147">
        <f t="shared" si="201"/>
        <v>0</v>
      </c>
      <c r="H468" s="119">
        <f>H469+H472</f>
        <v>6663</v>
      </c>
      <c r="I468" s="119">
        <f t="shared" ref="I468" si="215">I469+I472</f>
        <v>6659.6762399999998</v>
      </c>
      <c r="J468" s="119">
        <f t="shared" si="195"/>
        <v>99.950116163890129</v>
      </c>
    </row>
    <row r="469" spans="1:10" s="174" customFormat="1" x14ac:dyDescent="0.2">
      <c r="A469" s="120" t="s">
        <v>375</v>
      </c>
      <c r="B469" s="104" t="s">
        <v>416</v>
      </c>
      <c r="C469" s="104" t="s">
        <v>416</v>
      </c>
      <c r="D469" s="104" t="s">
        <v>335</v>
      </c>
      <c r="E469" s="104"/>
      <c r="F469" s="105">
        <f>F470</f>
        <v>6470</v>
      </c>
      <c r="G469" s="147">
        <f t="shared" si="201"/>
        <v>0</v>
      </c>
      <c r="H469" s="105">
        <f>H470</f>
        <v>6470</v>
      </c>
      <c r="I469" s="105">
        <f t="shared" ref="I469:I470" si="216">I470</f>
        <v>6470</v>
      </c>
      <c r="J469" s="105">
        <f t="shared" si="195"/>
        <v>100</v>
      </c>
    </row>
    <row r="470" spans="1:10" s="174" customFormat="1" ht="24" x14ac:dyDescent="0.2">
      <c r="A470" s="112" t="s">
        <v>79</v>
      </c>
      <c r="B470" s="113" t="s">
        <v>416</v>
      </c>
      <c r="C470" s="113" t="s">
        <v>416</v>
      </c>
      <c r="D470" s="113" t="s">
        <v>335</v>
      </c>
      <c r="E470" s="113" t="s">
        <v>80</v>
      </c>
      <c r="F470" s="114">
        <f>F471</f>
        <v>6470</v>
      </c>
      <c r="G470" s="147">
        <f t="shared" si="201"/>
        <v>0</v>
      </c>
      <c r="H470" s="114">
        <f>H471</f>
        <v>6470</v>
      </c>
      <c r="I470" s="114">
        <f t="shared" si="216"/>
        <v>6470</v>
      </c>
      <c r="J470" s="114">
        <f t="shared" si="195"/>
        <v>100</v>
      </c>
    </row>
    <row r="471" spans="1:10" s="174" customFormat="1" x14ac:dyDescent="0.2">
      <c r="A471" s="112" t="s">
        <v>81</v>
      </c>
      <c r="B471" s="113" t="s">
        <v>416</v>
      </c>
      <c r="C471" s="113" t="s">
        <v>416</v>
      </c>
      <c r="D471" s="113" t="s">
        <v>335</v>
      </c>
      <c r="E471" s="113" t="s">
        <v>82</v>
      </c>
      <c r="F471" s="114">
        <f>4970+1500</f>
        <v>6470</v>
      </c>
      <c r="G471" s="147">
        <f t="shared" si="201"/>
        <v>0</v>
      </c>
      <c r="H471" s="114">
        <f>4970+1500</f>
        <v>6470</v>
      </c>
      <c r="I471" s="114">
        <f>4970+1500</f>
        <v>6470</v>
      </c>
      <c r="J471" s="114">
        <f t="shared" si="195"/>
        <v>100</v>
      </c>
    </row>
    <row r="472" spans="1:10" s="174" customFormat="1" x14ac:dyDescent="0.2">
      <c r="A472" s="103" t="s">
        <v>83</v>
      </c>
      <c r="B472" s="104" t="s">
        <v>416</v>
      </c>
      <c r="C472" s="104" t="s">
        <v>416</v>
      </c>
      <c r="D472" s="104" t="s">
        <v>336</v>
      </c>
      <c r="E472" s="104"/>
      <c r="F472" s="105">
        <f>F473+F475</f>
        <v>193</v>
      </c>
      <c r="G472" s="147">
        <f t="shared" si="201"/>
        <v>0</v>
      </c>
      <c r="H472" s="105">
        <f>H473+H475</f>
        <v>193</v>
      </c>
      <c r="I472" s="105">
        <f t="shared" ref="I472" si="217">I473+I475</f>
        <v>189.67624000000001</v>
      </c>
      <c r="J472" s="105">
        <f t="shared" si="195"/>
        <v>98.277844559585489</v>
      </c>
    </row>
    <row r="473" spans="1:10" s="174" customFormat="1" x14ac:dyDescent="0.2">
      <c r="A473" s="112" t="s">
        <v>294</v>
      </c>
      <c r="B473" s="113" t="s">
        <v>416</v>
      </c>
      <c r="C473" s="113" t="s">
        <v>416</v>
      </c>
      <c r="D473" s="113" t="s">
        <v>336</v>
      </c>
      <c r="E473" s="113" t="s">
        <v>84</v>
      </c>
      <c r="F473" s="114">
        <f>F474</f>
        <v>190</v>
      </c>
      <c r="G473" s="147">
        <f t="shared" si="201"/>
        <v>0</v>
      </c>
      <c r="H473" s="114">
        <f>H474</f>
        <v>190</v>
      </c>
      <c r="I473" s="114">
        <f t="shared" ref="I473" si="218">I474</f>
        <v>189.67624000000001</v>
      </c>
      <c r="J473" s="114">
        <f t="shared" si="195"/>
        <v>99.829600000000013</v>
      </c>
    </row>
    <row r="474" spans="1:10" s="174" customFormat="1" x14ac:dyDescent="0.2">
      <c r="A474" s="112" t="s">
        <v>85</v>
      </c>
      <c r="B474" s="113" t="s">
        <v>416</v>
      </c>
      <c r="C474" s="113" t="s">
        <v>416</v>
      </c>
      <c r="D474" s="113" t="s">
        <v>336</v>
      </c>
      <c r="E474" s="113" t="s">
        <v>86</v>
      </c>
      <c r="F474" s="114">
        <f>60+30+30+35+35</f>
        <v>190</v>
      </c>
      <c r="G474" s="147">
        <f t="shared" si="201"/>
        <v>0</v>
      </c>
      <c r="H474" s="114">
        <f>60+30+30+35+35</f>
        <v>190</v>
      </c>
      <c r="I474" s="114">
        <v>189.67624000000001</v>
      </c>
      <c r="J474" s="114">
        <f t="shared" si="195"/>
        <v>99.829600000000013</v>
      </c>
    </row>
    <row r="475" spans="1:10" s="174" customFormat="1" x14ac:dyDescent="0.2">
      <c r="A475" s="112" t="s">
        <v>87</v>
      </c>
      <c r="B475" s="113" t="s">
        <v>416</v>
      </c>
      <c r="C475" s="113" t="s">
        <v>416</v>
      </c>
      <c r="D475" s="113" t="s">
        <v>336</v>
      </c>
      <c r="E475" s="113" t="s">
        <v>88</v>
      </c>
      <c r="F475" s="114">
        <f>F476</f>
        <v>3</v>
      </c>
      <c r="G475" s="147">
        <f t="shared" si="201"/>
        <v>0</v>
      </c>
      <c r="H475" s="114">
        <f>H476</f>
        <v>3</v>
      </c>
      <c r="I475" s="212">
        <f t="shared" ref="I475" si="219">I476</f>
        <v>0</v>
      </c>
      <c r="J475" s="212">
        <f t="shared" si="195"/>
        <v>0</v>
      </c>
    </row>
    <row r="476" spans="1:10" s="174" customFormat="1" x14ac:dyDescent="0.2">
      <c r="A476" s="112" t="s">
        <v>500</v>
      </c>
      <c r="B476" s="113" t="s">
        <v>416</v>
      </c>
      <c r="C476" s="113" t="s">
        <v>416</v>
      </c>
      <c r="D476" s="113" t="s">
        <v>336</v>
      </c>
      <c r="E476" s="113" t="s">
        <v>89</v>
      </c>
      <c r="F476" s="114">
        <v>3</v>
      </c>
      <c r="G476" s="147">
        <f t="shared" si="201"/>
        <v>0</v>
      </c>
      <c r="H476" s="114">
        <v>3</v>
      </c>
      <c r="I476" s="212">
        <v>0</v>
      </c>
      <c r="J476" s="212">
        <f t="shared" si="195"/>
        <v>0</v>
      </c>
    </row>
    <row r="477" spans="1:10" s="174" customFormat="1" ht="27" x14ac:dyDescent="0.2">
      <c r="A477" s="116" t="s">
        <v>677</v>
      </c>
      <c r="B477" s="107" t="s">
        <v>416</v>
      </c>
      <c r="C477" s="107" t="s">
        <v>416</v>
      </c>
      <c r="D477" s="107" t="s">
        <v>237</v>
      </c>
      <c r="E477" s="107"/>
      <c r="F477" s="108">
        <f>F478+F489</f>
        <v>21778.2</v>
      </c>
      <c r="G477" s="147">
        <f t="shared" si="201"/>
        <v>2578.8029999999999</v>
      </c>
      <c r="H477" s="108">
        <f>H478+H489</f>
        <v>24357.003000000001</v>
      </c>
      <c r="I477" s="108">
        <f t="shared" ref="I477" si="220">I478+I489</f>
        <v>22121.96545</v>
      </c>
      <c r="J477" s="108">
        <f t="shared" si="195"/>
        <v>90.823840067679924</v>
      </c>
    </row>
    <row r="478" spans="1:10" s="174" customFormat="1" x14ac:dyDescent="0.2">
      <c r="A478" s="103" t="s">
        <v>434</v>
      </c>
      <c r="B478" s="104" t="s">
        <v>416</v>
      </c>
      <c r="C478" s="104" t="s">
        <v>416</v>
      </c>
      <c r="D478" s="104" t="s">
        <v>126</v>
      </c>
      <c r="E478" s="113"/>
      <c r="F478" s="105">
        <f>F479</f>
        <v>14850</v>
      </c>
      <c r="G478" s="147">
        <f t="shared" si="201"/>
        <v>0</v>
      </c>
      <c r="H478" s="105">
        <f>H479</f>
        <v>14850</v>
      </c>
      <c r="I478" s="105">
        <f t="shared" ref="I478:I479" si="221">I479</f>
        <v>13721.68809</v>
      </c>
      <c r="J478" s="105">
        <f t="shared" si="195"/>
        <v>92.401939999999996</v>
      </c>
    </row>
    <row r="479" spans="1:10" s="174" customFormat="1" ht="24" x14ac:dyDescent="0.2">
      <c r="A479" s="103" t="s">
        <v>245</v>
      </c>
      <c r="B479" s="104" t="s">
        <v>416</v>
      </c>
      <c r="C479" s="104" t="s">
        <v>416</v>
      </c>
      <c r="D479" s="104" t="s">
        <v>126</v>
      </c>
      <c r="E479" s="113"/>
      <c r="F479" s="105">
        <f>F480</f>
        <v>14850</v>
      </c>
      <c r="G479" s="147">
        <f t="shared" si="201"/>
        <v>0</v>
      </c>
      <c r="H479" s="105">
        <f>H480</f>
        <v>14850</v>
      </c>
      <c r="I479" s="105">
        <f t="shared" si="221"/>
        <v>13721.68809</v>
      </c>
      <c r="J479" s="105">
        <f t="shared" si="195"/>
        <v>92.401939999999996</v>
      </c>
    </row>
    <row r="480" spans="1:10" s="174" customFormat="1" ht="24" x14ac:dyDescent="0.2">
      <c r="A480" s="117" t="s">
        <v>393</v>
      </c>
      <c r="B480" s="118" t="s">
        <v>416</v>
      </c>
      <c r="C480" s="118" t="s">
        <v>416</v>
      </c>
      <c r="D480" s="118" t="s">
        <v>126</v>
      </c>
      <c r="E480" s="118"/>
      <c r="F480" s="119">
        <f>F481+F484</f>
        <v>14850</v>
      </c>
      <c r="G480" s="147">
        <f t="shared" si="201"/>
        <v>0</v>
      </c>
      <c r="H480" s="119">
        <f>H481+H484</f>
        <v>14850</v>
      </c>
      <c r="I480" s="119">
        <f t="shared" ref="I480" si="222">I481+I484</f>
        <v>13721.68809</v>
      </c>
      <c r="J480" s="119">
        <f t="shared" si="195"/>
        <v>92.401939999999996</v>
      </c>
    </row>
    <row r="481" spans="1:10" s="174" customFormat="1" x14ac:dyDescent="0.2">
      <c r="A481" s="120" t="s">
        <v>375</v>
      </c>
      <c r="B481" s="104" t="s">
        <v>416</v>
      </c>
      <c r="C481" s="104" t="s">
        <v>416</v>
      </c>
      <c r="D481" s="104" t="s">
        <v>494</v>
      </c>
      <c r="E481" s="104"/>
      <c r="F481" s="105">
        <f>F482</f>
        <v>13650</v>
      </c>
      <c r="G481" s="147">
        <f t="shared" si="201"/>
        <v>0</v>
      </c>
      <c r="H481" s="105">
        <f>H482</f>
        <v>13650</v>
      </c>
      <c r="I481" s="105">
        <f t="shared" ref="I481:I482" si="223">I482</f>
        <v>12837.15036</v>
      </c>
      <c r="J481" s="105">
        <f t="shared" ref="J481:J547" si="224">I481/H481*100</f>
        <v>94.045057582417584</v>
      </c>
    </row>
    <row r="482" spans="1:10" s="174" customFormat="1" ht="24" x14ac:dyDescent="0.2">
      <c r="A482" s="112" t="s">
        <v>79</v>
      </c>
      <c r="B482" s="113" t="s">
        <v>416</v>
      </c>
      <c r="C482" s="113" t="s">
        <v>416</v>
      </c>
      <c r="D482" s="113" t="s">
        <v>494</v>
      </c>
      <c r="E482" s="113" t="s">
        <v>80</v>
      </c>
      <c r="F482" s="114">
        <f>F483</f>
        <v>13650</v>
      </c>
      <c r="G482" s="147">
        <f t="shared" si="201"/>
        <v>0</v>
      </c>
      <c r="H482" s="114">
        <f>H483</f>
        <v>13650</v>
      </c>
      <c r="I482" s="114">
        <f t="shared" si="223"/>
        <v>12837.15036</v>
      </c>
      <c r="J482" s="114">
        <f t="shared" si="224"/>
        <v>94.045057582417584</v>
      </c>
    </row>
    <row r="483" spans="1:10" s="174" customFormat="1" x14ac:dyDescent="0.2">
      <c r="A483" s="112" t="s">
        <v>81</v>
      </c>
      <c r="B483" s="113" t="s">
        <v>416</v>
      </c>
      <c r="C483" s="113" t="s">
        <v>416</v>
      </c>
      <c r="D483" s="113" t="s">
        <v>494</v>
      </c>
      <c r="E483" s="113" t="s">
        <v>82</v>
      </c>
      <c r="F483" s="114">
        <f>10430+100+3120</f>
        <v>13650</v>
      </c>
      <c r="G483" s="147">
        <f t="shared" si="201"/>
        <v>0</v>
      </c>
      <c r="H483" s="114">
        <f>10430+100+3120</f>
        <v>13650</v>
      </c>
      <c r="I483" s="114">
        <v>12837.15036</v>
      </c>
      <c r="J483" s="114">
        <f t="shared" si="224"/>
        <v>94.045057582417584</v>
      </c>
    </row>
    <row r="484" spans="1:10" s="174" customFormat="1" x14ac:dyDescent="0.2">
      <c r="A484" s="103" t="s">
        <v>83</v>
      </c>
      <c r="B484" s="104" t="s">
        <v>416</v>
      </c>
      <c r="C484" s="104" t="s">
        <v>416</v>
      </c>
      <c r="D484" s="104" t="s">
        <v>495</v>
      </c>
      <c r="E484" s="104"/>
      <c r="F484" s="105">
        <f>F485+F487</f>
        <v>1200</v>
      </c>
      <c r="G484" s="147">
        <f t="shared" si="201"/>
        <v>0</v>
      </c>
      <c r="H484" s="105">
        <f>H485+H487</f>
        <v>1200</v>
      </c>
      <c r="I484" s="105">
        <f t="shared" ref="I484" si="225">I485+I487</f>
        <v>884.53773000000001</v>
      </c>
      <c r="J484" s="105">
        <f t="shared" si="224"/>
        <v>73.711477500000001</v>
      </c>
    </row>
    <row r="485" spans="1:10" s="174" customFormat="1" x14ac:dyDescent="0.2">
      <c r="A485" s="112" t="s">
        <v>294</v>
      </c>
      <c r="B485" s="113" t="s">
        <v>416</v>
      </c>
      <c r="C485" s="113" t="s">
        <v>416</v>
      </c>
      <c r="D485" s="113" t="s">
        <v>495</v>
      </c>
      <c r="E485" s="113" t="s">
        <v>84</v>
      </c>
      <c r="F485" s="114">
        <f>F486</f>
        <v>1170</v>
      </c>
      <c r="G485" s="147">
        <f t="shared" si="201"/>
        <v>0</v>
      </c>
      <c r="H485" s="114">
        <f>H486</f>
        <v>1170</v>
      </c>
      <c r="I485" s="114">
        <f t="shared" ref="I485" si="226">I486</f>
        <v>882.86514</v>
      </c>
      <c r="J485" s="114">
        <f t="shared" si="224"/>
        <v>75.458558974358965</v>
      </c>
    </row>
    <row r="486" spans="1:10" s="174" customFormat="1" x14ac:dyDescent="0.2">
      <c r="A486" s="112" t="s">
        <v>85</v>
      </c>
      <c r="B486" s="113" t="s">
        <v>416</v>
      </c>
      <c r="C486" s="113" t="s">
        <v>416</v>
      </c>
      <c r="D486" s="113" t="s">
        <v>495</v>
      </c>
      <c r="E486" s="113" t="s">
        <v>86</v>
      </c>
      <c r="F486" s="114">
        <f>270+150+350+70+330</f>
        <v>1170</v>
      </c>
      <c r="G486" s="147">
        <f t="shared" si="201"/>
        <v>0</v>
      </c>
      <c r="H486" s="114">
        <f>270+150+350+70+330</f>
        <v>1170</v>
      </c>
      <c r="I486" s="114">
        <v>882.86514</v>
      </c>
      <c r="J486" s="114">
        <f t="shared" si="224"/>
        <v>75.458558974358965</v>
      </c>
    </row>
    <row r="487" spans="1:10" s="174" customFormat="1" x14ac:dyDescent="0.2">
      <c r="A487" s="112" t="s">
        <v>87</v>
      </c>
      <c r="B487" s="113" t="s">
        <v>416</v>
      </c>
      <c r="C487" s="113" t="s">
        <v>416</v>
      </c>
      <c r="D487" s="113" t="s">
        <v>495</v>
      </c>
      <c r="E487" s="113" t="s">
        <v>88</v>
      </c>
      <c r="F487" s="114">
        <f>F488</f>
        <v>30</v>
      </c>
      <c r="G487" s="147">
        <f t="shared" si="201"/>
        <v>0</v>
      </c>
      <c r="H487" s="114">
        <f>H488</f>
        <v>30</v>
      </c>
      <c r="I487" s="114">
        <f t="shared" ref="I487" si="227">I488</f>
        <v>1.67259</v>
      </c>
      <c r="J487" s="114">
        <f t="shared" si="224"/>
        <v>5.5753000000000004</v>
      </c>
    </row>
    <row r="488" spans="1:10" s="174" customFormat="1" x14ac:dyDescent="0.2">
      <c r="A488" s="112" t="s">
        <v>500</v>
      </c>
      <c r="B488" s="113" t="s">
        <v>416</v>
      </c>
      <c r="C488" s="113" t="s">
        <v>416</v>
      </c>
      <c r="D488" s="113" t="s">
        <v>495</v>
      </c>
      <c r="E488" s="113" t="s">
        <v>89</v>
      </c>
      <c r="F488" s="114">
        <v>30</v>
      </c>
      <c r="G488" s="147">
        <f t="shared" si="201"/>
        <v>0</v>
      </c>
      <c r="H488" s="114">
        <v>30</v>
      </c>
      <c r="I488" s="114">
        <v>1.67259</v>
      </c>
      <c r="J488" s="114">
        <f t="shared" si="224"/>
        <v>5.5753000000000004</v>
      </c>
    </row>
    <row r="489" spans="1:10" s="174" customFormat="1" x14ac:dyDescent="0.2">
      <c r="A489" s="134" t="s">
        <v>61</v>
      </c>
      <c r="B489" s="104" t="s">
        <v>416</v>
      </c>
      <c r="C489" s="104" t="s">
        <v>416</v>
      </c>
      <c r="D489" s="135" t="s">
        <v>646</v>
      </c>
      <c r="E489" s="104"/>
      <c r="F489" s="105">
        <f>F490</f>
        <v>6928.2</v>
      </c>
      <c r="G489" s="147">
        <f t="shared" si="201"/>
        <v>2578.8030000000008</v>
      </c>
      <c r="H489" s="105">
        <f>H490</f>
        <v>9507.0030000000006</v>
      </c>
      <c r="I489" s="105">
        <f t="shared" ref="I489" si="228">I490</f>
        <v>8400.27736</v>
      </c>
      <c r="J489" s="105">
        <f t="shared" si="224"/>
        <v>88.358837795675456</v>
      </c>
    </row>
    <row r="490" spans="1:10" s="174" customFormat="1" x14ac:dyDescent="0.2">
      <c r="A490" s="136" t="s">
        <v>471</v>
      </c>
      <c r="B490" s="132" t="s">
        <v>416</v>
      </c>
      <c r="C490" s="132" t="s">
        <v>416</v>
      </c>
      <c r="D490" s="132" t="s">
        <v>646</v>
      </c>
      <c r="E490" s="132"/>
      <c r="F490" s="137">
        <f>F491+F493+F495</f>
        <v>6928.2</v>
      </c>
      <c r="G490" s="147">
        <f t="shared" si="201"/>
        <v>2578.8030000000008</v>
      </c>
      <c r="H490" s="137">
        <f>H491+H493+H495</f>
        <v>9507.0030000000006</v>
      </c>
      <c r="I490" s="137">
        <f t="shared" ref="I490" si="229">I491+I493+I495</f>
        <v>8400.27736</v>
      </c>
      <c r="J490" s="137">
        <f t="shared" si="224"/>
        <v>88.358837795675456</v>
      </c>
    </row>
    <row r="491" spans="1:10" s="174" customFormat="1" ht="24" x14ac:dyDescent="0.2">
      <c r="A491" s="112" t="s">
        <v>79</v>
      </c>
      <c r="B491" s="113" t="s">
        <v>416</v>
      </c>
      <c r="C491" s="113" t="s">
        <v>416</v>
      </c>
      <c r="D491" s="113" t="s">
        <v>646</v>
      </c>
      <c r="E491" s="113" t="s">
        <v>80</v>
      </c>
      <c r="F491" s="114">
        <f>F492</f>
        <v>5126</v>
      </c>
      <c r="G491" s="147">
        <f t="shared" si="201"/>
        <v>1500.4064500000004</v>
      </c>
      <c r="H491" s="114">
        <f>H492</f>
        <v>6626.4064500000004</v>
      </c>
      <c r="I491" s="114">
        <f t="shared" ref="I491" si="230">I492</f>
        <v>6003.0989200000004</v>
      </c>
      <c r="J491" s="114">
        <f t="shared" si="224"/>
        <v>90.593581382258861</v>
      </c>
    </row>
    <row r="492" spans="1:10" s="174" customFormat="1" x14ac:dyDescent="0.2">
      <c r="A492" s="112" t="s">
        <v>472</v>
      </c>
      <c r="B492" s="113" t="s">
        <v>416</v>
      </c>
      <c r="C492" s="113" t="s">
        <v>416</v>
      </c>
      <c r="D492" s="113" t="s">
        <v>646</v>
      </c>
      <c r="E492" s="113" t="s">
        <v>473</v>
      </c>
      <c r="F492" s="114">
        <f>2816+850+1120+340</f>
        <v>5126</v>
      </c>
      <c r="G492" s="147">
        <f t="shared" si="201"/>
        <v>1500.4064500000004</v>
      </c>
      <c r="H492" s="114">
        <f>2816+850+1120+340+1500.40645</f>
        <v>6626.4064500000004</v>
      </c>
      <c r="I492" s="114">
        <v>6003.0989200000004</v>
      </c>
      <c r="J492" s="114">
        <f t="shared" si="224"/>
        <v>90.593581382258861</v>
      </c>
    </row>
    <row r="493" spans="1:10" s="174" customFormat="1" x14ac:dyDescent="0.2">
      <c r="A493" s="112" t="s">
        <v>294</v>
      </c>
      <c r="B493" s="113" t="s">
        <v>416</v>
      </c>
      <c r="C493" s="113" t="s">
        <v>416</v>
      </c>
      <c r="D493" s="113" t="s">
        <v>646</v>
      </c>
      <c r="E493" s="113" t="s">
        <v>84</v>
      </c>
      <c r="F493" s="114">
        <f>F494</f>
        <v>1273.2</v>
      </c>
      <c r="G493" s="147">
        <f t="shared" si="201"/>
        <v>785.3865500000004</v>
      </c>
      <c r="H493" s="114">
        <f>H494</f>
        <v>2058.5865500000004</v>
      </c>
      <c r="I493" s="114">
        <f t="shared" ref="I493" si="231">I494</f>
        <v>1585.55844</v>
      </c>
      <c r="J493" s="114">
        <f t="shared" si="224"/>
        <v>77.021704042514003</v>
      </c>
    </row>
    <row r="494" spans="1:10" s="174" customFormat="1" x14ac:dyDescent="0.2">
      <c r="A494" s="112" t="s">
        <v>85</v>
      </c>
      <c r="B494" s="113" t="s">
        <v>416</v>
      </c>
      <c r="C494" s="113" t="s">
        <v>416</v>
      </c>
      <c r="D494" s="113" t="s">
        <v>646</v>
      </c>
      <c r="E494" s="113" t="s">
        <v>86</v>
      </c>
      <c r="F494" s="114">
        <f>78.7+69+120+194.5+20+3+80+30+30+648</f>
        <v>1273.2</v>
      </c>
      <c r="G494" s="147">
        <f t="shared" si="201"/>
        <v>785.3865500000004</v>
      </c>
      <c r="H494" s="114">
        <f>78.7+69+120+194.5+20+3+80+30+30+648+708.39655-8.3+85.29</f>
        <v>2058.5865500000004</v>
      </c>
      <c r="I494" s="114">
        <v>1585.55844</v>
      </c>
      <c r="J494" s="114">
        <f t="shared" si="224"/>
        <v>77.021704042514003</v>
      </c>
    </row>
    <row r="495" spans="1:10" s="174" customFormat="1" x14ac:dyDescent="0.2">
      <c r="A495" s="112" t="s">
        <v>87</v>
      </c>
      <c r="B495" s="113" t="s">
        <v>416</v>
      </c>
      <c r="C495" s="113" t="s">
        <v>416</v>
      </c>
      <c r="D495" s="113" t="s">
        <v>646</v>
      </c>
      <c r="E495" s="113" t="s">
        <v>88</v>
      </c>
      <c r="F495" s="114">
        <f>F496</f>
        <v>529</v>
      </c>
      <c r="G495" s="147">
        <f t="shared" si="201"/>
        <v>293.01</v>
      </c>
      <c r="H495" s="114">
        <f>H496</f>
        <v>822.01</v>
      </c>
      <c r="I495" s="114">
        <f t="shared" ref="I495" si="232">I496</f>
        <v>811.62</v>
      </c>
      <c r="J495" s="114">
        <f t="shared" si="224"/>
        <v>98.736025109183586</v>
      </c>
    </row>
    <row r="496" spans="1:10" s="174" customFormat="1" x14ac:dyDescent="0.2">
      <c r="A496" s="112" t="s">
        <v>500</v>
      </c>
      <c r="B496" s="113" t="s">
        <v>416</v>
      </c>
      <c r="C496" s="113" t="s">
        <v>416</v>
      </c>
      <c r="D496" s="113" t="s">
        <v>646</v>
      </c>
      <c r="E496" s="113" t="s">
        <v>89</v>
      </c>
      <c r="F496" s="114">
        <f>520+9</f>
        <v>529</v>
      </c>
      <c r="G496" s="147">
        <f t="shared" si="201"/>
        <v>293.01</v>
      </c>
      <c r="H496" s="114">
        <f>520+9+8.3+370-85.29</f>
        <v>822.01</v>
      </c>
      <c r="I496" s="114">
        <v>811.62</v>
      </c>
      <c r="J496" s="114">
        <f t="shared" si="224"/>
        <v>98.736025109183586</v>
      </c>
    </row>
    <row r="497" spans="1:10" s="174" customFormat="1" x14ac:dyDescent="0.2">
      <c r="A497" s="138" t="s">
        <v>74</v>
      </c>
      <c r="B497" s="118" t="s">
        <v>416</v>
      </c>
      <c r="C497" s="118" t="s">
        <v>416</v>
      </c>
      <c r="D497" s="118" t="s">
        <v>209</v>
      </c>
      <c r="E497" s="118"/>
      <c r="F497" s="119">
        <f>F498</f>
        <v>6630</v>
      </c>
      <c r="G497" s="147">
        <f t="shared" si="201"/>
        <v>830.6917599999997</v>
      </c>
      <c r="H497" s="119">
        <f>H498</f>
        <v>7460.6917599999997</v>
      </c>
      <c r="I497" s="119">
        <f t="shared" ref="I497" si="233">I498</f>
        <v>7036.0675900000006</v>
      </c>
      <c r="J497" s="119">
        <f t="shared" si="224"/>
        <v>94.308514764319938</v>
      </c>
    </row>
    <row r="498" spans="1:10" s="174" customFormat="1" x14ac:dyDescent="0.2">
      <c r="A498" s="120" t="s">
        <v>297</v>
      </c>
      <c r="B498" s="104" t="s">
        <v>416</v>
      </c>
      <c r="C498" s="104" t="s">
        <v>416</v>
      </c>
      <c r="D498" s="104" t="s">
        <v>210</v>
      </c>
      <c r="E498" s="113"/>
      <c r="F498" s="105">
        <f>F499+F502</f>
        <v>6630</v>
      </c>
      <c r="G498" s="147">
        <f t="shared" si="201"/>
        <v>830.6917599999997</v>
      </c>
      <c r="H498" s="105">
        <f>H499+H502+H507</f>
        <v>7460.6917599999997</v>
      </c>
      <c r="I498" s="105">
        <f>I499+I502+I507</f>
        <v>7036.0675900000006</v>
      </c>
      <c r="J498" s="105">
        <f t="shared" si="224"/>
        <v>94.308514764319938</v>
      </c>
    </row>
    <row r="499" spans="1:10" s="174" customFormat="1" x14ac:dyDescent="0.2">
      <c r="A499" s="120" t="s">
        <v>375</v>
      </c>
      <c r="B499" s="104" t="s">
        <v>416</v>
      </c>
      <c r="C499" s="104" t="s">
        <v>416</v>
      </c>
      <c r="D499" s="104" t="s">
        <v>211</v>
      </c>
      <c r="E499" s="104"/>
      <c r="F499" s="105">
        <f>F500</f>
        <v>5670</v>
      </c>
      <c r="G499" s="147">
        <f t="shared" si="201"/>
        <v>0</v>
      </c>
      <c r="H499" s="105">
        <f>H500</f>
        <v>5670</v>
      </c>
      <c r="I499" s="105">
        <f t="shared" ref="I499:I500" si="234">I500</f>
        <v>5448.88465</v>
      </c>
      <c r="J499" s="105">
        <f t="shared" si="224"/>
        <v>96.100258377425035</v>
      </c>
    </row>
    <row r="500" spans="1:10" s="174" customFormat="1" ht="24" x14ac:dyDescent="0.2">
      <c r="A500" s="112" t="s">
        <v>79</v>
      </c>
      <c r="B500" s="113" t="s">
        <v>416</v>
      </c>
      <c r="C500" s="113" t="s">
        <v>416</v>
      </c>
      <c r="D500" s="113" t="s">
        <v>211</v>
      </c>
      <c r="E500" s="113" t="s">
        <v>80</v>
      </c>
      <c r="F500" s="114">
        <f>F501</f>
        <v>5670</v>
      </c>
      <c r="G500" s="147">
        <f t="shared" si="201"/>
        <v>0</v>
      </c>
      <c r="H500" s="114">
        <f>H501</f>
        <v>5670</v>
      </c>
      <c r="I500" s="114">
        <f t="shared" si="234"/>
        <v>5448.88465</v>
      </c>
      <c r="J500" s="114">
        <f t="shared" si="224"/>
        <v>96.100258377425035</v>
      </c>
    </row>
    <row r="501" spans="1:10" s="174" customFormat="1" x14ac:dyDescent="0.2">
      <c r="A501" s="112" t="s">
        <v>81</v>
      </c>
      <c r="B501" s="113" t="s">
        <v>416</v>
      </c>
      <c r="C501" s="113" t="s">
        <v>416</v>
      </c>
      <c r="D501" s="113" t="s">
        <v>211</v>
      </c>
      <c r="E501" s="113" t="s">
        <v>82</v>
      </c>
      <c r="F501" s="114">
        <f>4300+20+1300+20+30</f>
        <v>5670</v>
      </c>
      <c r="G501" s="147">
        <f t="shared" si="201"/>
        <v>0</v>
      </c>
      <c r="H501" s="114">
        <f>4300+20+1300+20+30</f>
        <v>5670</v>
      </c>
      <c r="I501" s="114">
        <v>5448.88465</v>
      </c>
      <c r="J501" s="114">
        <f t="shared" si="224"/>
        <v>96.100258377425035</v>
      </c>
    </row>
    <row r="502" spans="1:10" s="174" customFormat="1" x14ac:dyDescent="0.2">
      <c r="A502" s="103" t="s">
        <v>83</v>
      </c>
      <c r="B502" s="104" t="s">
        <v>416</v>
      </c>
      <c r="C502" s="104" t="s">
        <v>416</v>
      </c>
      <c r="D502" s="104" t="s">
        <v>212</v>
      </c>
      <c r="E502" s="104"/>
      <c r="F502" s="105">
        <f>F503+F505</f>
        <v>960</v>
      </c>
      <c r="G502" s="147">
        <f t="shared" ref="G502:G567" si="235">H502-F502</f>
        <v>0</v>
      </c>
      <c r="H502" s="105">
        <f>H503+H505</f>
        <v>960</v>
      </c>
      <c r="I502" s="105">
        <f t="shared" ref="I502" si="236">I503+I505</f>
        <v>769.57814999999994</v>
      </c>
      <c r="J502" s="105">
        <f t="shared" si="224"/>
        <v>80.164390624999996</v>
      </c>
    </row>
    <row r="503" spans="1:10" s="174" customFormat="1" x14ac:dyDescent="0.2">
      <c r="A503" s="112" t="s">
        <v>294</v>
      </c>
      <c r="B503" s="113" t="s">
        <v>416</v>
      </c>
      <c r="C503" s="113" t="s">
        <v>416</v>
      </c>
      <c r="D503" s="113" t="s">
        <v>212</v>
      </c>
      <c r="E503" s="113" t="s">
        <v>84</v>
      </c>
      <c r="F503" s="114">
        <f>F504</f>
        <v>810</v>
      </c>
      <c r="G503" s="147">
        <f t="shared" si="235"/>
        <v>0</v>
      </c>
      <c r="H503" s="114">
        <f>H504</f>
        <v>810</v>
      </c>
      <c r="I503" s="114">
        <f t="shared" ref="I503" si="237">I504</f>
        <v>762.90926999999999</v>
      </c>
      <c r="J503" s="105">
        <f t="shared" si="224"/>
        <v>94.186329629629626</v>
      </c>
    </row>
    <row r="504" spans="1:10" s="174" customFormat="1" x14ac:dyDescent="0.2">
      <c r="A504" s="112" t="s">
        <v>85</v>
      </c>
      <c r="B504" s="113" t="s">
        <v>416</v>
      </c>
      <c r="C504" s="113" t="s">
        <v>416</v>
      </c>
      <c r="D504" s="113" t="s">
        <v>212</v>
      </c>
      <c r="E504" s="113" t="s">
        <v>86</v>
      </c>
      <c r="F504" s="114">
        <f>60+50+300+300+100</f>
        <v>810</v>
      </c>
      <c r="G504" s="147">
        <f t="shared" si="235"/>
        <v>0</v>
      </c>
      <c r="H504" s="114">
        <f>60+50+300+300+100</f>
        <v>810</v>
      </c>
      <c r="I504" s="114">
        <v>762.90926999999999</v>
      </c>
      <c r="J504" s="105">
        <f t="shared" si="224"/>
        <v>94.186329629629626</v>
      </c>
    </row>
    <row r="505" spans="1:10" s="174" customFormat="1" x14ac:dyDescent="0.2">
      <c r="A505" s="112" t="s">
        <v>87</v>
      </c>
      <c r="B505" s="113" t="s">
        <v>416</v>
      </c>
      <c r="C505" s="113" t="s">
        <v>416</v>
      </c>
      <c r="D505" s="113" t="s">
        <v>212</v>
      </c>
      <c r="E505" s="113" t="s">
        <v>88</v>
      </c>
      <c r="F505" s="114">
        <f>F506</f>
        <v>150</v>
      </c>
      <c r="G505" s="147">
        <f t="shared" si="235"/>
        <v>0</v>
      </c>
      <c r="H505" s="114">
        <f>H506</f>
        <v>150</v>
      </c>
      <c r="I505" s="114">
        <f t="shared" ref="I505" si="238">I506</f>
        <v>6.6688799999999997</v>
      </c>
      <c r="J505" s="105">
        <f t="shared" si="224"/>
        <v>4.4459200000000001</v>
      </c>
    </row>
    <row r="506" spans="1:10" s="174" customFormat="1" x14ac:dyDescent="0.2">
      <c r="A506" s="112" t="s">
        <v>500</v>
      </c>
      <c r="B506" s="113" t="s">
        <v>416</v>
      </c>
      <c r="C506" s="113" t="s">
        <v>416</v>
      </c>
      <c r="D506" s="113" t="s">
        <v>212</v>
      </c>
      <c r="E506" s="113" t="s">
        <v>89</v>
      </c>
      <c r="F506" s="114">
        <v>150</v>
      </c>
      <c r="G506" s="147">
        <f t="shared" si="235"/>
        <v>0</v>
      </c>
      <c r="H506" s="114">
        <v>150</v>
      </c>
      <c r="I506" s="114">
        <v>6.6688799999999997</v>
      </c>
      <c r="J506" s="105">
        <f t="shared" si="224"/>
        <v>4.4459200000000001</v>
      </c>
    </row>
    <row r="507" spans="1:10" s="174" customFormat="1" ht="24" x14ac:dyDescent="0.2">
      <c r="A507" s="117" t="s">
        <v>768</v>
      </c>
      <c r="B507" s="104" t="s">
        <v>416</v>
      </c>
      <c r="C507" s="104" t="s">
        <v>416</v>
      </c>
      <c r="D507" s="118" t="s">
        <v>769</v>
      </c>
      <c r="E507" s="118"/>
      <c r="F507" s="119">
        <f t="shared" ref="F507:I508" si="239">F508</f>
        <v>195.3</v>
      </c>
      <c r="G507" s="119">
        <f t="shared" si="239"/>
        <v>195.3</v>
      </c>
      <c r="H507" s="119">
        <f t="shared" si="239"/>
        <v>830.69176000000004</v>
      </c>
      <c r="I507" s="119">
        <f t="shared" si="239"/>
        <v>817.60478999999998</v>
      </c>
      <c r="J507" s="119">
        <f t="shared" si="224"/>
        <v>98.424569662277605</v>
      </c>
    </row>
    <row r="508" spans="1:10" s="174" customFormat="1" ht="24" x14ac:dyDescent="0.2">
      <c r="A508" s="112" t="s">
        <v>79</v>
      </c>
      <c r="B508" s="113" t="s">
        <v>416</v>
      </c>
      <c r="C508" s="113" t="s">
        <v>416</v>
      </c>
      <c r="D508" s="113" t="s">
        <v>769</v>
      </c>
      <c r="E508" s="113" t="s">
        <v>80</v>
      </c>
      <c r="F508" s="114">
        <f t="shared" si="239"/>
        <v>195.3</v>
      </c>
      <c r="G508" s="114">
        <f t="shared" si="239"/>
        <v>195.3</v>
      </c>
      <c r="H508" s="114">
        <f t="shared" si="239"/>
        <v>830.69176000000004</v>
      </c>
      <c r="I508" s="114">
        <f t="shared" si="239"/>
        <v>817.60478999999998</v>
      </c>
      <c r="J508" s="114">
        <f t="shared" si="224"/>
        <v>98.424569662277605</v>
      </c>
    </row>
    <row r="509" spans="1:10" s="174" customFormat="1" x14ac:dyDescent="0.2">
      <c r="A509" s="112" t="s">
        <v>81</v>
      </c>
      <c r="B509" s="113" t="s">
        <v>416</v>
      </c>
      <c r="C509" s="113" t="s">
        <v>416</v>
      </c>
      <c r="D509" s="113" t="s">
        <v>769</v>
      </c>
      <c r="E509" s="113" t="s">
        <v>82</v>
      </c>
      <c r="F509" s="114">
        <v>195.3</v>
      </c>
      <c r="G509" s="114">
        <v>195.3</v>
      </c>
      <c r="H509" s="114">
        <v>830.69176000000004</v>
      </c>
      <c r="I509" s="114">
        <v>817.60478999999998</v>
      </c>
      <c r="J509" s="114">
        <f t="shared" si="224"/>
        <v>98.424569662277605</v>
      </c>
    </row>
    <row r="510" spans="1:10" s="174" customFormat="1" x14ac:dyDescent="0.2">
      <c r="A510" s="103" t="s">
        <v>364</v>
      </c>
      <c r="B510" s="104" t="s">
        <v>476</v>
      </c>
      <c r="C510" s="104" t="s">
        <v>77</v>
      </c>
      <c r="D510" s="113"/>
      <c r="E510" s="113"/>
      <c r="F510" s="147" t="e">
        <f>F511+F529+F553+F566+F587</f>
        <v>#REF!</v>
      </c>
      <c r="G510" s="147" t="e">
        <f t="shared" si="235"/>
        <v>#REF!</v>
      </c>
      <c r="H510" s="147">
        <f>H511+H529+H553+H566+H587</f>
        <v>2915226.8655599998</v>
      </c>
      <c r="I510" s="147">
        <f t="shared" ref="I510" si="240">I511+I529+I553+I566+I587</f>
        <v>2837678.4655800001</v>
      </c>
      <c r="J510" s="105">
        <f t="shared" si="224"/>
        <v>97.339884559375349</v>
      </c>
    </row>
    <row r="511" spans="1:10" s="174" customFormat="1" x14ac:dyDescent="0.2">
      <c r="A511" s="103" t="s">
        <v>365</v>
      </c>
      <c r="B511" s="104" t="s">
        <v>476</v>
      </c>
      <c r="C511" s="104" t="s">
        <v>76</v>
      </c>
      <c r="D511" s="104"/>
      <c r="E511" s="104"/>
      <c r="F511" s="105">
        <f>F512+F525</f>
        <v>1243764.98</v>
      </c>
      <c r="G511" s="147">
        <f t="shared" si="235"/>
        <v>-102511.61129999999</v>
      </c>
      <c r="H511" s="105">
        <f>H512+H525</f>
        <v>1141253.3687</v>
      </c>
      <c r="I511" s="105">
        <f t="shared" ref="I511" si="241">I512+I525</f>
        <v>1110518.4615100001</v>
      </c>
      <c r="J511" s="105">
        <f t="shared" si="224"/>
        <v>97.306916410243758</v>
      </c>
    </row>
    <row r="512" spans="1:10" s="174" customFormat="1" ht="27" x14ac:dyDescent="0.2">
      <c r="A512" s="116" t="s">
        <v>667</v>
      </c>
      <c r="B512" s="107" t="s">
        <v>476</v>
      </c>
      <c r="C512" s="107" t="s">
        <v>76</v>
      </c>
      <c r="D512" s="107" t="s">
        <v>160</v>
      </c>
      <c r="E512" s="107"/>
      <c r="F512" s="108">
        <f>F513</f>
        <v>1243264.98</v>
      </c>
      <c r="G512" s="147">
        <f t="shared" si="235"/>
        <v>-103011.61129999999</v>
      </c>
      <c r="H512" s="108">
        <f>H513</f>
        <v>1140253.3687</v>
      </c>
      <c r="I512" s="108">
        <f t="shared" ref="I512" si="242">I513</f>
        <v>1109518.4615100001</v>
      </c>
      <c r="J512" s="108">
        <f t="shared" si="224"/>
        <v>97.304554581141844</v>
      </c>
    </row>
    <row r="513" spans="1:10" s="174" customFormat="1" x14ac:dyDescent="0.2">
      <c r="A513" s="103" t="s">
        <v>267</v>
      </c>
      <c r="B513" s="104" t="s">
        <v>476</v>
      </c>
      <c r="C513" s="104" t="s">
        <v>76</v>
      </c>
      <c r="D513" s="104" t="s">
        <v>161</v>
      </c>
      <c r="E513" s="104"/>
      <c r="F513" s="105">
        <f>F514+F518</f>
        <v>1243264.98</v>
      </c>
      <c r="G513" s="147">
        <f t="shared" si="235"/>
        <v>-103011.61129999999</v>
      </c>
      <c r="H513" s="105">
        <f>H514+H518+H522</f>
        <v>1140253.3687</v>
      </c>
      <c r="I513" s="105">
        <f t="shared" ref="I513" si="243">I514+I518+I522</f>
        <v>1109518.4615100001</v>
      </c>
      <c r="J513" s="105">
        <f t="shared" si="224"/>
        <v>97.304554581141844</v>
      </c>
    </row>
    <row r="514" spans="1:10" s="174" customFormat="1" ht="24" x14ac:dyDescent="0.2">
      <c r="A514" s="117" t="s">
        <v>268</v>
      </c>
      <c r="B514" s="118" t="s">
        <v>476</v>
      </c>
      <c r="C514" s="118" t="s">
        <v>76</v>
      </c>
      <c r="D514" s="118" t="s">
        <v>162</v>
      </c>
      <c r="E514" s="118"/>
      <c r="F514" s="119">
        <f>F515</f>
        <v>485270.98</v>
      </c>
      <c r="G514" s="147">
        <f t="shared" si="235"/>
        <v>-65040.411299999978</v>
      </c>
      <c r="H514" s="119">
        <f>H515</f>
        <v>420230.5687</v>
      </c>
      <c r="I514" s="119">
        <f t="shared" ref="I514" si="244">I515</f>
        <v>389498.07596000005</v>
      </c>
      <c r="J514" s="119">
        <f t="shared" si="224"/>
        <v>92.686754598773675</v>
      </c>
    </row>
    <row r="515" spans="1:10" s="174" customFormat="1" x14ac:dyDescent="0.2">
      <c r="A515" s="112" t="s">
        <v>104</v>
      </c>
      <c r="B515" s="113" t="s">
        <v>476</v>
      </c>
      <c r="C515" s="113" t="s">
        <v>76</v>
      </c>
      <c r="D515" s="113" t="s">
        <v>657</v>
      </c>
      <c r="E515" s="113" t="s">
        <v>391</v>
      </c>
      <c r="F515" s="114">
        <f>F516+F517</f>
        <v>485270.98</v>
      </c>
      <c r="G515" s="147">
        <f t="shared" si="235"/>
        <v>-65040.411299999978</v>
      </c>
      <c r="H515" s="114">
        <f>H516+H517</f>
        <v>420230.5687</v>
      </c>
      <c r="I515" s="114">
        <f t="shared" ref="I515" si="245">I516+I517</f>
        <v>389498.07596000005</v>
      </c>
      <c r="J515" s="114">
        <f t="shared" si="224"/>
        <v>92.686754598773675</v>
      </c>
    </row>
    <row r="516" spans="1:10" s="174" customFormat="1" x14ac:dyDescent="0.2">
      <c r="A516" s="112" t="s">
        <v>105</v>
      </c>
      <c r="B516" s="113" t="s">
        <v>476</v>
      </c>
      <c r="C516" s="113" t="s">
        <v>76</v>
      </c>
      <c r="D516" s="113" t="s">
        <v>657</v>
      </c>
      <c r="E516" s="113" t="s">
        <v>409</v>
      </c>
      <c r="F516" s="114">
        <f>386354.38+55200</f>
        <v>441554.38</v>
      </c>
      <c r="G516" s="147">
        <f t="shared" si="235"/>
        <v>-65900.548179999983</v>
      </c>
      <c r="H516" s="114">
        <f>419610.36041-40844.77859-3680.35+568.6</f>
        <v>375653.83182000002</v>
      </c>
      <c r="I516" s="114">
        <v>347225.93339000002</v>
      </c>
      <c r="J516" s="114">
        <f t="shared" si="224"/>
        <v>92.432421548245614</v>
      </c>
    </row>
    <row r="517" spans="1:10" s="174" customFormat="1" x14ac:dyDescent="0.2">
      <c r="A517" s="112" t="s">
        <v>502</v>
      </c>
      <c r="B517" s="113" t="s">
        <v>476</v>
      </c>
      <c r="C517" s="113" t="s">
        <v>76</v>
      </c>
      <c r="D517" s="113" t="s">
        <v>657</v>
      </c>
      <c r="E517" s="113" t="s">
        <v>503</v>
      </c>
      <c r="F517" s="114">
        <f>38916.6+4800</f>
        <v>43716.6</v>
      </c>
      <c r="G517" s="147">
        <f t="shared" si="235"/>
        <v>860.13688000000548</v>
      </c>
      <c r="H517" s="114">
        <f>45145.33688-568.6</f>
        <v>44576.736880000004</v>
      </c>
      <c r="I517" s="114">
        <v>42272.142570000004</v>
      </c>
      <c r="J517" s="114">
        <f t="shared" si="224"/>
        <v>94.830051566573985</v>
      </c>
    </row>
    <row r="518" spans="1:10" s="174" customFormat="1" ht="36" x14ac:dyDescent="0.2">
      <c r="A518" s="117" t="s">
        <v>354</v>
      </c>
      <c r="B518" s="118" t="s">
        <v>476</v>
      </c>
      <c r="C518" s="118" t="s">
        <v>76</v>
      </c>
      <c r="D518" s="118" t="s">
        <v>163</v>
      </c>
      <c r="E518" s="118"/>
      <c r="F518" s="119">
        <f>F519</f>
        <v>757994</v>
      </c>
      <c r="G518" s="147">
        <f t="shared" si="235"/>
        <v>-39682.699999999953</v>
      </c>
      <c r="H518" s="119">
        <f>H519</f>
        <v>718311.3</v>
      </c>
      <c r="I518" s="119">
        <f t="shared" ref="I518" si="246">I519</f>
        <v>718308.88555000001</v>
      </c>
      <c r="J518" s="119">
        <f t="shared" si="224"/>
        <v>99.999663871360497</v>
      </c>
    </row>
    <row r="519" spans="1:10" s="174" customFormat="1" x14ac:dyDescent="0.2">
      <c r="A519" s="112" t="s">
        <v>104</v>
      </c>
      <c r="B519" s="113" t="s">
        <v>476</v>
      </c>
      <c r="C519" s="113" t="s">
        <v>76</v>
      </c>
      <c r="D519" s="113" t="s">
        <v>163</v>
      </c>
      <c r="E519" s="113" t="s">
        <v>391</v>
      </c>
      <c r="F519" s="114">
        <f>F520+F521</f>
        <v>757994</v>
      </c>
      <c r="G519" s="147">
        <f t="shared" si="235"/>
        <v>-39682.699999999953</v>
      </c>
      <c r="H519" s="114">
        <f>H520+H521</f>
        <v>718311.3</v>
      </c>
      <c r="I519" s="114">
        <f t="shared" ref="I519" si="247">I520+I521</f>
        <v>718308.88555000001</v>
      </c>
      <c r="J519" s="114">
        <f t="shared" si="224"/>
        <v>99.999663871360497</v>
      </c>
    </row>
    <row r="520" spans="1:10" s="174" customFormat="1" x14ac:dyDescent="0.2">
      <c r="A520" s="112" t="s">
        <v>105</v>
      </c>
      <c r="B520" s="113" t="s">
        <v>476</v>
      </c>
      <c r="C520" s="113" t="s">
        <v>76</v>
      </c>
      <c r="D520" s="113" t="s">
        <v>163</v>
      </c>
      <c r="E520" s="113" t="s">
        <v>409</v>
      </c>
      <c r="F520" s="114">
        <v>704392</v>
      </c>
      <c r="G520" s="147">
        <f t="shared" si="235"/>
        <v>-52627.678269999917</v>
      </c>
      <c r="H520" s="114">
        <f>652413.15173-648.83</f>
        <v>651764.32173000008</v>
      </c>
      <c r="I520" s="114">
        <v>651761.92021999997</v>
      </c>
      <c r="J520" s="114">
        <f t="shared" si="224"/>
        <v>99.999631537057184</v>
      </c>
    </row>
    <row r="521" spans="1:10" s="174" customFormat="1" x14ac:dyDescent="0.2">
      <c r="A521" s="112" t="s">
        <v>502</v>
      </c>
      <c r="B521" s="113" t="s">
        <v>476</v>
      </c>
      <c r="C521" s="113" t="s">
        <v>76</v>
      </c>
      <c r="D521" s="113" t="s">
        <v>163</v>
      </c>
      <c r="E521" s="113" t="s">
        <v>503</v>
      </c>
      <c r="F521" s="114">
        <v>53602</v>
      </c>
      <c r="G521" s="147">
        <f t="shared" si="235"/>
        <v>12944.978270000007</v>
      </c>
      <c r="H521" s="114">
        <f>65898.14827+648.83</f>
        <v>66546.978270000007</v>
      </c>
      <c r="I521" s="114">
        <v>66546.965330000006</v>
      </c>
      <c r="J521" s="114">
        <f t="shared" si="224"/>
        <v>99.999980555090048</v>
      </c>
    </row>
    <row r="522" spans="1:10" s="174" customFormat="1" ht="15.75" customHeight="1" x14ac:dyDescent="0.2">
      <c r="A522" s="103" t="s">
        <v>703</v>
      </c>
      <c r="B522" s="104" t="s">
        <v>476</v>
      </c>
      <c r="C522" s="104" t="s">
        <v>76</v>
      </c>
      <c r="D522" s="104" t="s">
        <v>704</v>
      </c>
      <c r="E522" s="104"/>
      <c r="F522" s="114"/>
      <c r="G522" s="147"/>
      <c r="H522" s="105">
        <f>H523</f>
        <v>1711.5</v>
      </c>
      <c r="I522" s="105">
        <f t="shared" ref="I522:I523" si="248">I523</f>
        <v>1711.5</v>
      </c>
      <c r="J522" s="105">
        <f t="shared" si="224"/>
        <v>100</v>
      </c>
    </row>
    <row r="523" spans="1:10" s="174" customFormat="1" x14ac:dyDescent="0.2">
      <c r="A523" s="112" t="s">
        <v>104</v>
      </c>
      <c r="B523" s="113" t="s">
        <v>476</v>
      </c>
      <c r="C523" s="113" t="s">
        <v>76</v>
      </c>
      <c r="D523" s="113" t="s">
        <v>704</v>
      </c>
      <c r="E523" s="113" t="s">
        <v>391</v>
      </c>
      <c r="F523" s="114"/>
      <c r="G523" s="147"/>
      <c r="H523" s="114">
        <f>H524</f>
        <v>1711.5</v>
      </c>
      <c r="I523" s="114">
        <f t="shared" si="248"/>
        <v>1711.5</v>
      </c>
      <c r="J523" s="114">
        <f t="shared" si="224"/>
        <v>100</v>
      </c>
    </row>
    <row r="524" spans="1:10" s="174" customFormat="1" x14ac:dyDescent="0.2">
      <c r="A524" s="112" t="s">
        <v>105</v>
      </c>
      <c r="B524" s="113" t="s">
        <v>476</v>
      </c>
      <c r="C524" s="113" t="s">
        <v>76</v>
      </c>
      <c r="D524" s="113" t="s">
        <v>704</v>
      </c>
      <c r="E524" s="113" t="s">
        <v>409</v>
      </c>
      <c r="F524" s="114"/>
      <c r="G524" s="147"/>
      <c r="H524" s="114">
        <v>1711.5</v>
      </c>
      <c r="I524" s="114">
        <v>1711.5</v>
      </c>
      <c r="J524" s="114">
        <f t="shared" si="224"/>
        <v>100</v>
      </c>
    </row>
    <row r="525" spans="1:10" s="174" customFormat="1" ht="27" x14ac:dyDescent="0.2">
      <c r="A525" s="116" t="s">
        <v>672</v>
      </c>
      <c r="B525" s="107" t="s">
        <v>476</v>
      </c>
      <c r="C525" s="107" t="s">
        <v>76</v>
      </c>
      <c r="D525" s="107" t="s">
        <v>266</v>
      </c>
      <c r="E525" s="107"/>
      <c r="F525" s="108">
        <f>F526</f>
        <v>500</v>
      </c>
      <c r="G525" s="147">
        <f t="shared" si="235"/>
        <v>500</v>
      </c>
      <c r="H525" s="108">
        <f>H526</f>
        <v>1000</v>
      </c>
      <c r="I525" s="108">
        <f t="shared" ref="I525:I527" si="249">I526</f>
        <v>1000</v>
      </c>
      <c r="J525" s="119">
        <f t="shared" si="224"/>
        <v>100</v>
      </c>
    </row>
    <row r="526" spans="1:10" s="174" customFormat="1" ht="36" x14ac:dyDescent="0.2">
      <c r="A526" s="103" t="s">
        <v>36</v>
      </c>
      <c r="B526" s="104" t="s">
        <v>476</v>
      </c>
      <c r="C526" s="104" t="s">
        <v>76</v>
      </c>
      <c r="D526" s="104" t="s">
        <v>617</v>
      </c>
      <c r="E526" s="104"/>
      <c r="F526" s="105">
        <f>F527</f>
        <v>500</v>
      </c>
      <c r="G526" s="147">
        <f t="shared" si="235"/>
        <v>500</v>
      </c>
      <c r="H526" s="105">
        <f>H527</f>
        <v>1000</v>
      </c>
      <c r="I526" s="105">
        <f t="shared" si="249"/>
        <v>1000</v>
      </c>
      <c r="J526" s="105">
        <f t="shared" si="224"/>
        <v>100</v>
      </c>
    </row>
    <row r="527" spans="1:10" s="174" customFormat="1" x14ac:dyDescent="0.2">
      <c r="A527" s="112" t="s">
        <v>159</v>
      </c>
      <c r="B527" s="113" t="s">
        <v>476</v>
      </c>
      <c r="C527" s="113" t="s">
        <v>76</v>
      </c>
      <c r="D527" s="113" t="s">
        <v>617</v>
      </c>
      <c r="E527" s="113" t="s">
        <v>84</v>
      </c>
      <c r="F527" s="114">
        <f>F528</f>
        <v>500</v>
      </c>
      <c r="G527" s="147">
        <f t="shared" si="235"/>
        <v>500</v>
      </c>
      <c r="H527" s="114">
        <f>H528</f>
        <v>1000</v>
      </c>
      <c r="I527" s="114">
        <f t="shared" si="249"/>
        <v>1000</v>
      </c>
      <c r="J527" s="114">
        <f t="shared" si="224"/>
        <v>100</v>
      </c>
    </row>
    <row r="528" spans="1:10" s="174" customFormat="1" x14ac:dyDescent="0.2">
      <c r="A528" s="112" t="s">
        <v>85</v>
      </c>
      <c r="B528" s="113" t="s">
        <v>476</v>
      </c>
      <c r="C528" s="113" t="s">
        <v>76</v>
      </c>
      <c r="D528" s="113" t="s">
        <v>617</v>
      </c>
      <c r="E528" s="113" t="s">
        <v>86</v>
      </c>
      <c r="F528" s="114">
        <v>500</v>
      </c>
      <c r="G528" s="147">
        <f t="shared" si="235"/>
        <v>500</v>
      </c>
      <c r="H528" s="114">
        <f>500+500</f>
        <v>1000</v>
      </c>
      <c r="I528" s="114">
        <f>500+500</f>
        <v>1000</v>
      </c>
      <c r="J528" s="114">
        <f t="shared" si="224"/>
        <v>100</v>
      </c>
    </row>
    <row r="529" spans="1:10" s="174" customFormat="1" x14ac:dyDescent="0.2">
      <c r="A529" s="103" t="s">
        <v>366</v>
      </c>
      <c r="B529" s="104" t="s">
        <v>476</v>
      </c>
      <c r="C529" s="104" t="s">
        <v>477</v>
      </c>
      <c r="D529" s="104"/>
      <c r="E529" s="118"/>
      <c r="F529" s="105">
        <f>F530</f>
        <v>1189758.96</v>
      </c>
      <c r="G529" s="147">
        <f t="shared" si="235"/>
        <v>225802.36571000004</v>
      </c>
      <c r="H529" s="105">
        <f>H530</f>
        <v>1415561.32571</v>
      </c>
      <c r="I529" s="105">
        <f t="shared" ref="I529" si="250">I530</f>
        <v>1379573.3835400001</v>
      </c>
      <c r="J529" s="105">
        <f t="shared" si="224"/>
        <v>97.45769105750685</v>
      </c>
    </row>
    <row r="530" spans="1:10" s="174" customFormat="1" ht="27" x14ac:dyDescent="0.2">
      <c r="A530" s="116" t="s">
        <v>667</v>
      </c>
      <c r="B530" s="107" t="s">
        <v>476</v>
      </c>
      <c r="C530" s="107" t="s">
        <v>477</v>
      </c>
      <c r="D530" s="107" t="s">
        <v>160</v>
      </c>
      <c r="E530" s="107"/>
      <c r="F530" s="108">
        <f>F531+F548</f>
        <v>1189758.96</v>
      </c>
      <c r="G530" s="147">
        <f t="shared" si="235"/>
        <v>225802.36571000004</v>
      </c>
      <c r="H530" s="108">
        <f>H531+H548</f>
        <v>1415561.32571</v>
      </c>
      <c r="I530" s="108">
        <f t="shared" ref="I530" si="251">I531+I548</f>
        <v>1379573.3835400001</v>
      </c>
      <c r="J530" s="108">
        <f t="shared" si="224"/>
        <v>97.45769105750685</v>
      </c>
    </row>
    <row r="531" spans="1:10" s="174" customFormat="1" x14ac:dyDescent="0.2">
      <c r="A531" s="103" t="s">
        <v>267</v>
      </c>
      <c r="B531" s="104" t="s">
        <v>476</v>
      </c>
      <c r="C531" s="104" t="s">
        <v>477</v>
      </c>
      <c r="D531" s="104" t="s">
        <v>161</v>
      </c>
      <c r="E531" s="104"/>
      <c r="F531" s="105">
        <f>F532+F536</f>
        <v>1162805.76</v>
      </c>
      <c r="G531" s="147">
        <f t="shared" si="235"/>
        <v>225802.36571000004</v>
      </c>
      <c r="H531" s="105">
        <f>H532+H536+H540+H544</f>
        <v>1388608.1257100001</v>
      </c>
      <c r="I531" s="105">
        <f t="shared" ref="I531" si="252">I532+I536+I540+I544</f>
        <v>1369111.2985400001</v>
      </c>
      <c r="J531" s="105">
        <f t="shared" si="224"/>
        <v>98.595944614681613</v>
      </c>
    </row>
    <row r="532" spans="1:10" s="174" customFormat="1" x14ac:dyDescent="0.2">
      <c r="A532" s="136" t="s">
        <v>269</v>
      </c>
      <c r="B532" s="132" t="s">
        <v>476</v>
      </c>
      <c r="C532" s="132" t="s">
        <v>477</v>
      </c>
      <c r="D532" s="132" t="s">
        <v>166</v>
      </c>
      <c r="E532" s="132"/>
      <c r="F532" s="137">
        <f>F533</f>
        <v>267584.15999999997</v>
      </c>
      <c r="G532" s="147">
        <f t="shared" si="235"/>
        <v>-9434.7322899999563</v>
      </c>
      <c r="H532" s="137">
        <f>H533</f>
        <v>258149.42771000002</v>
      </c>
      <c r="I532" s="137">
        <f t="shared" ref="I532" si="253">I533</f>
        <v>245656.76045</v>
      </c>
      <c r="J532" s="137">
        <f t="shared" si="224"/>
        <v>95.160683728482226</v>
      </c>
    </row>
    <row r="533" spans="1:10" s="174" customFormat="1" x14ac:dyDescent="0.2">
      <c r="A533" s="112" t="s">
        <v>104</v>
      </c>
      <c r="B533" s="113" t="s">
        <v>476</v>
      </c>
      <c r="C533" s="113" t="s">
        <v>477</v>
      </c>
      <c r="D533" s="113" t="s">
        <v>658</v>
      </c>
      <c r="E533" s="113" t="s">
        <v>391</v>
      </c>
      <c r="F533" s="114">
        <f>F534+F535</f>
        <v>267584.15999999997</v>
      </c>
      <c r="G533" s="147">
        <f t="shared" si="235"/>
        <v>-9434.7322899999563</v>
      </c>
      <c r="H533" s="114">
        <f>H534+H535</f>
        <v>258149.42771000002</v>
      </c>
      <c r="I533" s="114">
        <f t="shared" ref="I533" si="254">I534+I535</f>
        <v>245656.76045</v>
      </c>
      <c r="J533" s="114">
        <f t="shared" si="224"/>
        <v>95.160683728482226</v>
      </c>
    </row>
    <row r="534" spans="1:10" s="174" customFormat="1" x14ac:dyDescent="0.2">
      <c r="A534" s="112" t="s">
        <v>105</v>
      </c>
      <c r="B534" s="113" t="s">
        <v>476</v>
      </c>
      <c r="C534" s="113" t="s">
        <v>477</v>
      </c>
      <c r="D534" s="113" t="s">
        <v>658</v>
      </c>
      <c r="E534" s="113" t="s">
        <v>409</v>
      </c>
      <c r="F534" s="114">
        <v>258812</v>
      </c>
      <c r="G534" s="147">
        <f t="shared" si="235"/>
        <v>-9130.7670999999973</v>
      </c>
      <c r="H534" s="114">
        <v>249681.2329</v>
      </c>
      <c r="I534" s="114">
        <v>238054.27335</v>
      </c>
      <c r="J534" s="114">
        <f t="shared" si="224"/>
        <v>95.343278541620819</v>
      </c>
    </row>
    <row r="535" spans="1:10" s="174" customFormat="1" x14ac:dyDescent="0.2">
      <c r="A535" s="112" t="s">
        <v>502</v>
      </c>
      <c r="B535" s="113" t="s">
        <v>476</v>
      </c>
      <c r="C535" s="113" t="s">
        <v>477</v>
      </c>
      <c r="D535" s="113" t="s">
        <v>658</v>
      </c>
      <c r="E535" s="113" t="s">
        <v>503</v>
      </c>
      <c r="F535" s="114">
        <v>8772.16</v>
      </c>
      <c r="G535" s="147">
        <f t="shared" si="235"/>
        <v>-303.96518999999898</v>
      </c>
      <c r="H535" s="114">
        <v>8468.1948100000009</v>
      </c>
      <c r="I535" s="114">
        <v>7602.4871000000003</v>
      </c>
      <c r="J535" s="114">
        <f t="shared" si="224"/>
        <v>89.776950939086859</v>
      </c>
    </row>
    <row r="536" spans="1:10" s="174" customFormat="1" ht="48" x14ac:dyDescent="0.2">
      <c r="A536" s="133" t="s">
        <v>355</v>
      </c>
      <c r="B536" s="118" t="s">
        <v>476</v>
      </c>
      <c r="C536" s="118" t="s">
        <v>477</v>
      </c>
      <c r="D536" s="118" t="s">
        <v>270</v>
      </c>
      <c r="E536" s="118"/>
      <c r="F536" s="119">
        <f>F537</f>
        <v>895221.6</v>
      </c>
      <c r="G536" s="147">
        <f t="shared" si="235"/>
        <v>144207.97999999998</v>
      </c>
      <c r="H536" s="119">
        <f>H537</f>
        <v>1039429.58</v>
      </c>
      <c r="I536" s="119">
        <f t="shared" ref="I536" si="255">I537</f>
        <v>1039401.33909</v>
      </c>
      <c r="J536" s="119">
        <f t="shared" si="224"/>
        <v>99.997283037683033</v>
      </c>
    </row>
    <row r="537" spans="1:10" s="174" customFormat="1" x14ac:dyDescent="0.2">
      <c r="A537" s="112" t="s">
        <v>104</v>
      </c>
      <c r="B537" s="113" t="s">
        <v>476</v>
      </c>
      <c r="C537" s="113" t="s">
        <v>477</v>
      </c>
      <c r="D537" s="113" t="s">
        <v>270</v>
      </c>
      <c r="E537" s="113" t="s">
        <v>391</v>
      </c>
      <c r="F537" s="114">
        <f>F538+F539</f>
        <v>895221.6</v>
      </c>
      <c r="G537" s="147">
        <f t="shared" si="235"/>
        <v>144207.97999999998</v>
      </c>
      <c r="H537" s="114">
        <f>H538+H539</f>
        <v>1039429.58</v>
      </c>
      <c r="I537" s="114">
        <f t="shared" ref="I537" si="256">I538+I539</f>
        <v>1039401.33909</v>
      </c>
      <c r="J537" s="114">
        <f t="shared" si="224"/>
        <v>99.997283037683033</v>
      </c>
    </row>
    <row r="538" spans="1:10" s="174" customFormat="1" x14ac:dyDescent="0.2">
      <c r="A538" s="112" t="s">
        <v>105</v>
      </c>
      <c r="B538" s="113" t="s">
        <v>476</v>
      </c>
      <c r="C538" s="113" t="s">
        <v>477</v>
      </c>
      <c r="D538" s="113" t="s">
        <v>270</v>
      </c>
      <c r="E538" s="113" t="s">
        <v>409</v>
      </c>
      <c r="F538" s="114">
        <v>858626.6</v>
      </c>
      <c r="G538" s="147">
        <f t="shared" si="235"/>
        <v>138284.30128000001</v>
      </c>
      <c r="H538" s="114">
        <f>962116.50128+34794.4</f>
        <v>996910.90127999999</v>
      </c>
      <c r="I538" s="114">
        <v>996882.66037000006</v>
      </c>
      <c r="J538" s="114">
        <f t="shared" si="224"/>
        <v>99.997167158071633</v>
      </c>
    </row>
    <row r="539" spans="1:10" s="174" customFormat="1" x14ac:dyDescent="0.2">
      <c r="A539" s="112" t="s">
        <v>502</v>
      </c>
      <c r="B539" s="113" t="s">
        <v>476</v>
      </c>
      <c r="C539" s="113" t="s">
        <v>477</v>
      </c>
      <c r="D539" s="113" t="s">
        <v>270</v>
      </c>
      <c r="E539" s="113" t="s">
        <v>503</v>
      </c>
      <c r="F539" s="114">
        <v>36595</v>
      </c>
      <c r="G539" s="147">
        <f t="shared" si="235"/>
        <v>5923.6787200000035</v>
      </c>
      <c r="H539" s="114">
        <f>41030.37872+1488.3</f>
        <v>42518.678720000004</v>
      </c>
      <c r="I539" s="114">
        <v>42518.678720000004</v>
      </c>
      <c r="J539" s="114">
        <f t="shared" si="224"/>
        <v>100</v>
      </c>
    </row>
    <row r="540" spans="1:10" s="174" customFormat="1" ht="24" x14ac:dyDescent="0.2">
      <c r="A540" s="117" t="s">
        <v>750</v>
      </c>
      <c r="B540" s="118" t="s">
        <v>476</v>
      </c>
      <c r="C540" s="118" t="s">
        <v>477</v>
      </c>
      <c r="D540" s="118" t="s">
        <v>751</v>
      </c>
      <c r="E540" s="118"/>
      <c r="F540" s="114"/>
      <c r="G540" s="147"/>
      <c r="H540" s="119">
        <f>H541</f>
        <v>32810.400000000001</v>
      </c>
      <c r="I540" s="119">
        <f t="shared" ref="I540" si="257">I541</f>
        <v>30993.929</v>
      </c>
      <c r="J540" s="119">
        <f t="shared" si="224"/>
        <v>94.463734059932207</v>
      </c>
    </row>
    <row r="541" spans="1:10" s="174" customFormat="1" x14ac:dyDescent="0.2">
      <c r="A541" s="112" t="s">
        <v>104</v>
      </c>
      <c r="B541" s="113" t="s">
        <v>476</v>
      </c>
      <c r="C541" s="113" t="s">
        <v>477</v>
      </c>
      <c r="D541" s="113" t="s">
        <v>751</v>
      </c>
      <c r="E541" s="113" t="s">
        <v>391</v>
      </c>
      <c r="F541" s="114"/>
      <c r="G541" s="147"/>
      <c r="H541" s="114">
        <f>H542+H543</f>
        <v>32810.400000000001</v>
      </c>
      <c r="I541" s="114">
        <f t="shared" ref="I541" si="258">I542+I543</f>
        <v>30993.929</v>
      </c>
      <c r="J541" s="114">
        <f t="shared" si="224"/>
        <v>94.463734059932207</v>
      </c>
    </row>
    <row r="542" spans="1:10" s="174" customFormat="1" x14ac:dyDescent="0.2">
      <c r="A542" s="112" t="s">
        <v>105</v>
      </c>
      <c r="B542" s="113" t="s">
        <v>476</v>
      </c>
      <c r="C542" s="113" t="s">
        <v>477</v>
      </c>
      <c r="D542" s="113" t="s">
        <v>751</v>
      </c>
      <c r="E542" s="113" t="s">
        <v>409</v>
      </c>
      <c r="F542" s="114"/>
      <c r="G542" s="147"/>
      <c r="H542" s="114">
        <v>31560.48</v>
      </c>
      <c r="I542" s="114">
        <v>29798.072</v>
      </c>
      <c r="J542" s="114">
        <f t="shared" si="224"/>
        <v>94.415775678950382</v>
      </c>
    </row>
    <row r="543" spans="1:10" s="174" customFormat="1" x14ac:dyDescent="0.2">
      <c r="A543" s="112" t="s">
        <v>502</v>
      </c>
      <c r="B543" s="113" t="s">
        <v>476</v>
      </c>
      <c r="C543" s="113" t="s">
        <v>477</v>
      </c>
      <c r="D543" s="113" t="s">
        <v>751</v>
      </c>
      <c r="E543" s="113" t="s">
        <v>503</v>
      </c>
      <c r="F543" s="114"/>
      <c r="G543" s="147"/>
      <c r="H543" s="114">
        <v>1249.92</v>
      </c>
      <c r="I543" s="114">
        <v>1195.857</v>
      </c>
      <c r="J543" s="114">
        <f t="shared" si="224"/>
        <v>95.674683179723502</v>
      </c>
    </row>
    <row r="544" spans="1:10" s="174" customFormat="1" ht="24" x14ac:dyDescent="0.2">
      <c r="A544" s="117" t="s">
        <v>752</v>
      </c>
      <c r="B544" s="118" t="s">
        <v>476</v>
      </c>
      <c r="C544" s="118" t="s">
        <v>477</v>
      </c>
      <c r="D544" s="118" t="s">
        <v>753</v>
      </c>
      <c r="E544" s="118"/>
      <c r="F544" s="114"/>
      <c r="G544" s="147"/>
      <c r="H544" s="119">
        <f>H545</f>
        <v>58218.718000000008</v>
      </c>
      <c r="I544" s="119">
        <f t="shared" ref="I544" si="259">I545</f>
        <v>53059.27</v>
      </c>
      <c r="J544" s="119">
        <f t="shared" si="224"/>
        <v>91.137819283481974</v>
      </c>
    </row>
    <row r="545" spans="1:10" s="174" customFormat="1" x14ac:dyDescent="0.2">
      <c r="A545" s="112" t="s">
        <v>104</v>
      </c>
      <c r="B545" s="113" t="s">
        <v>476</v>
      </c>
      <c r="C545" s="113" t="s">
        <v>477</v>
      </c>
      <c r="D545" s="113" t="s">
        <v>753</v>
      </c>
      <c r="E545" s="113" t="s">
        <v>391</v>
      </c>
      <c r="F545" s="114"/>
      <c r="G545" s="147"/>
      <c r="H545" s="114">
        <f>H546+H547</f>
        <v>58218.718000000008</v>
      </c>
      <c r="I545" s="114">
        <f t="shared" ref="I545" si="260">I546+I547</f>
        <v>53059.27</v>
      </c>
      <c r="J545" s="114">
        <f t="shared" si="224"/>
        <v>91.137819283481974</v>
      </c>
    </row>
    <row r="546" spans="1:10" s="174" customFormat="1" x14ac:dyDescent="0.2">
      <c r="A546" s="112" t="s">
        <v>105</v>
      </c>
      <c r="B546" s="113" t="s">
        <v>476</v>
      </c>
      <c r="C546" s="113" t="s">
        <v>477</v>
      </c>
      <c r="D546" s="113" t="s">
        <v>753</v>
      </c>
      <c r="E546" s="113" t="s">
        <v>409</v>
      </c>
      <c r="F546" s="114"/>
      <c r="G546" s="147"/>
      <c r="H546" s="114">
        <f>67563.95268-11814.17868</f>
        <v>55749.774000000005</v>
      </c>
      <c r="I546" s="114">
        <v>50698.205999999998</v>
      </c>
      <c r="J546" s="114">
        <f t="shared" si="224"/>
        <v>90.938854747644342</v>
      </c>
    </row>
    <row r="547" spans="1:10" s="174" customFormat="1" x14ac:dyDescent="0.2">
      <c r="A547" s="112" t="s">
        <v>502</v>
      </c>
      <c r="B547" s="113" t="s">
        <v>476</v>
      </c>
      <c r="C547" s="113" t="s">
        <v>477</v>
      </c>
      <c r="D547" s="113" t="s">
        <v>753</v>
      </c>
      <c r="E547" s="113" t="s">
        <v>503</v>
      </c>
      <c r="F547" s="114"/>
      <c r="G547" s="147"/>
      <c r="H547" s="114">
        <f>3669.891-1200.947</f>
        <v>2468.9440000000004</v>
      </c>
      <c r="I547" s="114">
        <v>2361.0639999999999</v>
      </c>
      <c r="J547" s="105">
        <f t="shared" si="224"/>
        <v>95.630520578838542</v>
      </c>
    </row>
    <row r="548" spans="1:10" s="174" customFormat="1" x14ac:dyDescent="0.2">
      <c r="A548" s="103" t="s">
        <v>283</v>
      </c>
      <c r="B548" s="104" t="s">
        <v>476</v>
      </c>
      <c r="C548" s="104" t="s">
        <v>477</v>
      </c>
      <c r="D548" s="104" t="s">
        <v>169</v>
      </c>
      <c r="E548" s="104"/>
      <c r="F548" s="105">
        <f>F549</f>
        <v>26953.200000000001</v>
      </c>
      <c r="G548" s="147">
        <f t="shared" si="235"/>
        <v>0</v>
      </c>
      <c r="H548" s="105">
        <f>H549</f>
        <v>26953.200000000001</v>
      </c>
      <c r="I548" s="105">
        <f t="shared" ref="I548:I549" si="261">I549</f>
        <v>10462.084999999999</v>
      </c>
      <c r="J548" s="105">
        <f t="shared" ref="J548:J611" si="262">I548/H548*100</f>
        <v>38.815743585177266</v>
      </c>
    </row>
    <row r="549" spans="1:10" s="174" customFormat="1" x14ac:dyDescent="0.2">
      <c r="A549" s="121" t="s">
        <v>177</v>
      </c>
      <c r="B549" s="118" t="s">
        <v>476</v>
      </c>
      <c r="C549" s="118" t="s">
        <v>477</v>
      </c>
      <c r="D549" s="118" t="s">
        <v>479</v>
      </c>
      <c r="E549" s="118"/>
      <c r="F549" s="119">
        <f>F550</f>
        <v>26953.200000000001</v>
      </c>
      <c r="G549" s="147">
        <f t="shared" si="235"/>
        <v>0</v>
      </c>
      <c r="H549" s="119">
        <f>H550</f>
        <v>26953.200000000001</v>
      </c>
      <c r="I549" s="119">
        <f t="shared" si="261"/>
        <v>10462.084999999999</v>
      </c>
      <c r="J549" s="119">
        <f t="shared" si="262"/>
        <v>38.815743585177266</v>
      </c>
    </row>
    <row r="550" spans="1:10" s="174" customFormat="1" x14ac:dyDescent="0.2">
      <c r="A550" s="112" t="s">
        <v>104</v>
      </c>
      <c r="B550" s="113" t="s">
        <v>476</v>
      </c>
      <c r="C550" s="113" t="s">
        <v>477</v>
      </c>
      <c r="D550" s="113" t="s">
        <v>662</v>
      </c>
      <c r="E550" s="113" t="s">
        <v>391</v>
      </c>
      <c r="F550" s="114">
        <f>F551+F552</f>
        <v>26953.200000000001</v>
      </c>
      <c r="G550" s="147">
        <f t="shared" si="235"/>
        <v>0</v>
      </c>
      <c r="H550" s="114">
        <f>H551+H552</f>
        <v>26953.200000000001</v>
      </c>
      <c r="I550" s="114">
        <f t="shared" ref="I550" si="263">I551+I552</f>
        <v>10462.084999999999</v>
      </c>
      <c r="J550" s="114">
        <f t="shared" si="262"/>
        <v>38.815743585177266</v>
      </c>
    </row>
    <row r="551" spans="1:10" s="174" customFormat="1" x14ac:dyDescent="0.2">
      <c r="A551" s="112" t="s">
        <v>105</v>
      </c>
      <c r="B551" s="113" t="s">
        <v>476</v>
      </c>
      <c r="C551" s="113" t="s">
        <v>477</v>
      </c>
      <c r="D551" s="113" t="s">
        <v>662</v>
      </c>
      <c r="E551" s="113" t="s">
        <v>409</v>
      </c>
      <c r="F551" s="114">
        <v>26058.400000000001</v>
      </c>
      <c r="G551" s="147">
        <f t="shared" si="235"/>
        <v>0</v>
      </c>
      <c r="H551" s="114">
        <v>26058.400000000001</v>
      </c>
      <c r="I551" s="114">
        <v>10117.535</v>
      </c>
      <c r="J551" s="114">
        <f t="shared" si="262"/>
        <v>38.82638611733644</v>
      </c>
    </row>
    <row r="552" spans="1:10" s="174" customFormat="1" x14ac:dyDescent="0.2">
      <c r="A552" s="112" t="s">
        <v>502</v>
      </c>
      <c r="B552" s="113" t="s">
        <v>476</v>
      </c>
      <c r="C552" s="113" t="s">
        <v>477</v>
      </c>
      <c r="D552" s="113" t="s">
        <v>662</v>
      </c>
      <c r="E552" s="113" t="s">
        <v>503</v>
      </c>
      <c r="F552" s="114">
        <v>894.8</v>
      </c>
      <c r="G552" s="147">
        <f t="shared" si="235"/>
        <v>0</v>
      </c>
      <c r="H552" s="114">
        <v>894.8</v>
      </c>
      <c r="I552" s="114">
        <v>344.55</v>
      </c>
      <c r="J552" s="114">
        <f t="shared" si="262"/>
        <v>38.505811354492621</v>
      </c>
    </row>
    <row r="553" spans="1:10" s="175" customFormat="1" x14ac:dyDescent="0.2">
      <c r="A553" s="103" t="s">
        <v>271</v>
      </c>
      <c r="B553" s="104" t="s">
        <v>476</v>
      </c>
      <c r="C553" s="104" t="s">
        <v>469</v>
      </c>
      <c r="D553" s="104"/>
      <c r="E553" s="104"/>
      <c r="F553" s="105" t="e">
        <f>F554+F560+#REF!</f>
        <v>#REF!</v>
      </c>
      <c r="G553" s="147" t="e">
        <f t="shared" si="235"/>
        <v>#REF!</v>
      </c>
      <c r="H553" s="105">
        <f>H554+H560</f>
        <v>185003.17499999999</v>
      </c>
      <c r="I553" s="105">
        <f t="shared" ref="I553" si="264">I554+I560</f>
        <v>182458.82332999998</v>
      </c>
      <c r="J553" s="105">
        <f t="shared" si="262"/>
        <v>98.624698376122467</v>
      </c>
    </row>
    <row r="554" spans="1:10" s="175" customFormat="1" ht="27" x14ac:dyDescent="0.2">
      <c r="A554" s="116" t="s">
        <v>667</v>
      </c>
      <c r="B554" s="107" t="s">
        <v>476</v>
      </c>
      <c r="C554" s="107" t="s">
        <v>469</v>
      </c>
      <c r="D554" s="107" t="s">
        <v>160</v>
      </c>
      <c r="E554" s="132"/>
      <c r="F554" s="108">
        <f>F555</f>
        <v>101291.4</v>
      </c>
      <c r="G554" s="147">
        <f t="shared" si="235"/>
        <v>-2.4999999994179234E-2</v>
      </c>
      <c r="H554" s="108">
        <f>H555</f>
        <v>101291.375</v>
      </c>
      <c r="I554" s="108">
        <f t="shared" ref="I554:I556" si="265">I555</f>
        <v>99633.532989999992</v>
      </c>
      <c r="J554" s="105">
        <f t="shared" si="262"/>
        <v>98.363294002080622</v>
      </c>
    </row>
    <row r="555" spans="1:10" s="175" customFormat="1" x14ac:dyDescent="0.2">
      <c r="A555" s="103" t="s">
        <v>267</v>
      </c>
      <c r="B555" s="104" t="s">
        <v>476</v>
      </c>
      <c r="C555" s="104" t="s">
        <v>469</v>
      </c>
      <c r="D555" s="104" t="s">
        <v>161</v>
      </c>
      <c r="E555" s="113"/>
      <c r="F555" s="105">
        <f>F556</f>
        <v>101291.4</v>
      </c>
      <c r="G555" s="147">
        <f t="shared" si="235"/>
        <v>-2.4999999994179234E-2</v>
      </c>
      <c r="H555" s="105">
        <f>H556</f>
        <v>101291.375</v>
      </c>
      <c r="I555" s="105">
        <f t="shared" si="265"/>
        <v>99633.532989999992</v>
      </c>
      <c r="J555" s="105">
        <f t="shared" si="262"/>
        <v>98.363294002080622</v>
      </c>
    </row>
    <row r="556" spans="1:10" s="175" customFormat="1" x14ac:dyDescent="0.2">
      <c r="A556" s="117" t="s">
        <v>272</v>
      </c>
      <c r="B556" s="118" t="s">
        <v>476</v>
      </c>
      <c r="C556" s="118" t="s">
        <v>469</v>
      </c>
      <c r="D556" s="118" t="s">
        <v>167</v>
      </c>
      <c r="E556" s="118"/>
      <c r="F556" s="119">
        <f>F557</f>
        <v>101291.4</v>
      </c>
      <c r="G556" s="147">
        <f t="shared" si="235"/>
        <v>-2.4999999994179234E-2</v>
      </c>
      <c r="H556" s="119">
        <f>H557</f>
        <v>101291.375</v>
      </c>
      <c r="I556" s="119">
        <f t="shared" si="265"/>
        <v>99633.532989999992</v>
      </c>
      <c r="J556" s="119">
        <f t="shared" si="262"/>
        <v>98.363294002080622</v>
      </c>
    </row>
    <row r="557" spans="1:10" s="175" customFormat="1" x14ac:dyDescent="0.2">
      <c r="A557" s="112" t="s">
        <v>104</v>
      </c>
      <c r="B557" s="113" t="s">
        <v>476</v>
      </c>
      <c r="C557" s="113" t="s">
        <v>469</v>
      </c>
      <c r="D557" s="113" t="s">
        <v>659</v>
      </c>
      <c r="E557" s="113" t="s">
        <v>391</v>
      </c>
      <c r="F557" s="114">
        <f>F558+F559</f>
        <v>101291.4</v>
      </c>
      <c r="G557" s="147">
        <f t="shared" si="235"/>
        <v>-2.4999999994179234E-2</v>
      </c>
      <c r="H557" s="114">
        <f>H558+H559</f>
        <v>101291.375</v>
      </c>
      <c r="I557" s="114">
        <f t="shared" ref="I557" si="266">I558+I559</f>
        <v>99633.532989999992</v>
      </c>
      <c r="J557" s="114">
        <f t="shared" si="262"/>
        <v>98.363294002080622</v>
      </c>
    </row>
    <row r="558" spans="1:10" s="175" customFormat="1" x14ac:dyDescent="0.2">
      <c r="A558" s="112" t="s">
        <v>105</v>
      </c>
      <c r="B558" s="113" t="s">
        <v>476</v>
      </c>
      <c r="C558" s="113" t="s">
        <v>469</v>
      </c>
      <c r="D558" s="113" t="s">
        <v>659</v>
      </c>
      <c r="E558" s="113" t="s">
        <v>409</v>
      </c>
      <c r="F558" s="114">
        <v>3223.9</v>
      </c>
      <c r="G558" s="147">
        <f t="shared" si="235"/>
        <v>-212.16854999999987</v>
      </c>
      <c r="H558" s="114">
        <v>3011.7314500000002</v>
      </c>
      <c r="I558" s="114">
        <v>2658.54405</v>
      </c>
      <c r="J558" s="114">
        <f t="shared" si="262"/>
        <v>88.272945119326621</v>
      </c>
    </row>
    <row r="559" spans="1:10" s="175" customFormat="1" x14ac:dyDescent="0.2">
      <c r="A559" s="112" t="s">
        <v>502</v>
      </c>
      <c r="B559" s="113" t="s">
        <v>476</v>
      </c>
      <c r="C559" s="113" t="s">
        <v>469</v>
      </c>
      <c r="D559" s="113" t="s">
        <v>659</v>
      </c>
      <c r="E559" s="113" t="s">
        <v>503</v>
      </c>
      <c r="F559" s="114">
        <v>98067.5</v>
      </c>
      <c r="G559" s="147">
        <f t="shared" si="235"/>
        <v>212.14354999999341</v>
      </c>
      <c r="H559" s="114">
        <v>98279.643549999993</v>
      </c>
      <c r="I559" s="114">
        <v>96974.988939999996</v>
      </c>
      <c r="J559" s="114">
        <f t="shared" si="262"/>
        <v>98.672507792179516</v>
      </c>
    </row>
    <row r="560" spans="1:10" s="175" customFormat="1" ht="27" x14ac:dyDescent="0.2">
      <c r="A560" s="116" t="s">
        <v>587</v>
      </c>
      <c r="B560" s="107" t="s">
        <v>476</v>
      </c>
      <c r="C560" s="107" t="s">
        <v>469</v>
      </c>
      <c r="D560" s="107" t="s">
        <v>251</v>
      </c>
      <c r="E560" s="107"/>
      <c r="F560" s="108">
        <f>F561</f>
        <v>90628.6</v>
      </c>
      <c r="G560" s="147">
        <f t="shared" si="235"/>
        <v>-6916.8000000000029</v>
      </c>
      <c r="H560" s="108">
        <f>H561</f>
        <v>83711.8</v>
      </c>
      <c r="I560" s="108">
        <f t="shared" ref="I560:I564" si="267">I561</f>
        <v>82825.290340000007</v>
      </c>
      <c r="J560" s="108">
        <f t="shared" si="262"/>
        <v>98.940997971612134</v>
      </c>
    </row>
    <row r="561" spans="1:10" s="175" customFormat="1" x14ac:dyDescent="0.2">
      <c r="A561" s="103" t="s">
        <v>351</v>
      </c>
      <c r="B561" s="104" t="s">
        <v>476</v>
      </c>
      <c r="C561" s="104" t="s">
        <v>469</v>
      </c>
      <c r="D561" s="104" t="s">
        <v>252</v>
      </c>
      <c r="E561" s="104"/>
      <c r="F561" s="105">
        <f>F562</f>
        <v>90628.6</v>
      </c>
      <c r="G561" s="147">
        <f t="shared" si="235"/>
        <v>-6916.8000000000029</v>
      </c>
      <c r="H561" s="105">
        <f>H562</f>
        <v>83711.8</v>
      </c>
      <c r="I561" s="105">
        <f t="shared" si="267"/>
        <v>82825.290340000007</v>
      </c>
      <c r="J561" s="105">
        <f t="shared" si="262"/>
        <v>98.940997971612134</v>
      </c>
    </row>
    <row r="562" spans="1:10" s="175" customFormat="1" ht="24" x14ac:dyDescent="0.2">
      <c r="A562" s="103" t="s">
        <v>589</v>
      </c>
      <c r="B562" s="104" t="s">
        <v>476</v>
      </c>
      <c r="C562" s="104" t="s">
        <v>469</v>
      </c>
      <c r="D562" s="104" t="s">
        <v>590</v>
      </c>
      <c r="E562" s="104"/>
      <c r="F562" s="105">
        <f>F563</f>
        <v>90628.6</v>
      </c>
      <c r="G562" s="147">
        <f t="shared" si="235"/>
        <v>-6916.8000000000029</v>
      </c>
      <c r="H562" s="105">
        <f>H563</f>
        <v>83711.8</v>
      </c>
      <c r="I562" s="105">
        <f t="shared" si="267"/>
        <v>82825.290340000007</v>
      </c>
      <c r="J562" s="105">
        <f t="shared" si="262"/>
        <v>98.940997971612134</v>
      </c>
    </row>
    <row r="563" spans="1:10" s="175" customFormat="1" ht="24" x14ac:dyDescent="0.2">
      <c r="A563" s="136" t="s">
        <v>302</v>
      </c>
      <c r="B563" s="132" t="s">
        <v>476</v>
      </c>
      <c r="C563" s="132" t="s">
        <v>469</v>
      </c>
      <c r="D563" s="132" t="s">
        <v>590</v>
      </c>
      <c r="E563" s="132"/>
      <c r="F563" s="137">
        <f>F564</f>
        <v>90628.6</v>
      </c>
      <c r="G563" s="147">
        <f t="shared" si="235"/>
        <v>-6916.8000000000029</v>
      </c>
      <c r="H563" s="137">
        <f>H564</f>
        <v>83711.8</v>
      </c>
      <c r="I563" s="137">
        <f t="shared" si="267"/>
        <v>82825.290340000007</v>
      </c>
      <c r="J563" s="137">
        <f t="shared" si="262"/>
        <v>98.940997971612134</v>
      </c>
    </row>
    <row r="564" spans="1:10" s="175" customFormat="1" x14ac:dyDescent="0.2">
      <c r="A564" s="112" t="s">
        <v>104</v>
      </c>
      <c r="B564" s="113" t="s">
        <v>476</v>
      </c>
      <c r="C564" s="113" t="s">
        <v>469</v>
      </c>
      <c r="D564" s="113" t="s">
        <v>590</v>
      </c>
      <c r="E564" s="113" t="s">
        <v>391</v>
      </c>
      <c r="F564" s="114">
        <f>F565</f>
        <v>90628.6</v>
      </c>
      <c r="G564" s="147">
        <f t="shared" si="235"/>
        <v>-6916.8000000000029</v>
      </c>
      <c r="H564" s="114">
        <f>H565</f>
        <v>83711.8</v>
      </c>
      <c r="I564" s="114">
        <f t="shared" si="267"/>
        <v>82825.290340000007</v>
      </c>
      <c r="J564" s="114">
        <f t="shared" si="262"/>
        <v>98.940997971612134</v>
      </c>
    </row>
    <row r="565" spans="1:10" s="175" customFormat="1" x14ac:dyDescent="0.2">
      <c r="A565" s="112" t="s">
        <v>105</v>
      </c>
      <c r="B565" s="113" t="s">
        <v>476</v>
      </c>
      <c r="C565" s="113" t="s">
        <v>469</v>
      </c>
      <c r="D565" s="113" t="s">
        <v>590</v>
      </c>
      <c r="E565" s="113" t="s">
        <v>409</v>
      </c>
      <c r="F565" s="114">
        <v>90628.6</v>
      </c>
      <c r="G565" s="147">
        <f t="shared" si="235"/>
        <v>-6916.8000000000029</v>
      </c>
      <c r="H565" s="114">
        <f>90628.6-6916.8</f>
        <v>83711.8</v>
      </c>
      <c r="I565" s="114">
        <v>82825.290340000007</v>
      </c>
      <c r="J565" s="114">
        <f t="shared" si="262"/>
        <v>98.940997971612134</v>
      </c>
    </row>
    <row r="566" spans="1:10" s="175" customFormat="1" x14ac:dyDescent="0.2">
      <c r="A566" s="103" t="s">
        <v>367</v>
      </c>
      <c r="B566" s="104" t="s">
        <v>476</v>
      </c>
      <c r="C566" s="104" t="s">
        <v>476</v>
      </c>
      <c r="D566" s="104"/>
      <c r="E566" s="104"/>
      <c r="F566" s="105" t="e">
        <f>F567+F575+F580</f>
        <v>#REF!</v>
      </c>
      <c r="G566" s="147" t="e">
        <f t="shared" si="235"/>
        <v>#REF!</v>
      </c>
      <c r="H566" s="105">
        <f>H567+H575+H580</f>
        <v>2256.61384</v>
      </c>
      <c r="I566" s="105">
        <f t="shared" ref="I566" si="268">I567+I575+I580</f>
        <v>1964.2059200000001</v>
      </c>
      <c r="J566" s="105">
        <f t="shared" si="262"/>
        <v>87.042181749625371</v>
      </c>
    </row>
    <row r="567" spans="1:10" s="175" customFormat="1" ht="27" x14ac:dyDescent="0.2">
      <c r="A567" s="116" t="s">
        <v>587</v>
      </c>
      <c r="B567" s="107" t="s">
        <v>476</v>
      </c>
      <c r="C567" s="107" t="s">
        <v>476</v>
      </c>
      <c r="D567" s="107" t="s">
        <v>251</v>
      </c>
      <c r="E567" s="107"/>
      <c r="F567" s="108" t="e">
        <f>F568</f>
        <v>#REF!</v>
      </c>
      <c r="G567" s="147" t="e">
        <f t="shared" si="235"/>
        <v>#REF!</v>
      </c>
      <c r="H567" s="108">
        <f>H568</f>
        <v>1379.2</v>
      </c>
      <c r="I567" s="108">
        <f t="shared" ref="I567" si="269">I568</f>
        <v>1254.2</v>
      </c>
      <c r="J567" s="108">
        <f t="shared" si="262"/>
        <v>90.936774941995353</v>
      </c>
    </row>
    <row r="568" spans="1:10" s="175" customFormat="1" ht="13.5" x14ac:dyDescent="0.2">
      <c r="A568" s="116" t="s">
        <v>350</v>
      </c>
      <c r="B568" s="107" t="s">
        <v>476</v>
      </c>
      <c r="C568" s="107" t="s">
        <v>476</v>
      </c>
      <c r="D568" s="107" t="s">
        <v>257</v>
      </c>
      <c r="E568" s="107"/>
      <c r="F568" s="108" t="e">
        <f>F569+#REF!+F572</f>
        <v>#REF!</v>
      </c>
      <c r="G568" s="147" t="e">
        <f t="shared" ref="G568:G625" si="270">H568-F568</f>
        <v>#REF!</v>
      </c>
      <c r="H568" s="108">
        <f>H569+H572</f>
        <v>1379.2</v>
      </c>
      <c r="I568" s="108">
        <f t="shared" ref="I568" si="271">I569+I572</f>
        <v>1254.2</v>
      </c>
      <c r="J568" s="119">
        <f t="shared" si="262"/>
        <v>90.936774941995353</v>
      </c>
    </row>
    <row r="569" spans="1:10" s="175" customFormat="1" x14ac:dyDescent="0.2">
      <c r="A569" s="134" t="s">
        <v>258</v>
      </c>
      <c r="B569" s="104" t="s">
        <v>476</v>
      </c>
      <c r="C569" s="104" t="s">
        <v>476</v>
      </c>
      <c r="D569" s="104" t="s">
        <v>591</v>
      </c>
      <c r="E569" s="104"/>
      <c r="F569" s="105">
        <f>F570</f>
        <v>5650</v>
      </c>
      <c r="G569" s="147">
        <f t="shared" si="270"/>
        <v>-4770.8</v>
      </c>
      <c r="H569" s="105">
        <f>H570</f>
        <v>879.2</v>
      </c>
      <c r="I569" s="105">
        <f t="shared" ref="I569:I570" si="272">I570</f>
        <v>879.2</v>
      </c>
      <c r="J569" s="105">
        <f t="shared" si="262"/>
        <v>100</v>
      </c>
    </row>
    <row r="570" spans="1:10" s="175" customFormat="1" x14ac:dyDescent="0.2">
      <c r="A570" s="112" t="s">
        <v>582</v>
      </c>
      <c r="B570" s="113" t="s">
        <v>476</v>
      </c>
      <c r="C570" s="113" t="s">
        <v>476</v>
      </c>
      <c r="D570" s="113" t="s">
        <v>591</v>
      </c>
      <c r="E570" s="113" t="s">
        <v>84</v>
      </c>
      <c r="F570" s="114">
        <f>F571</f>
        <v>5650</v>
      </c>
      <c r="G570" s="147">
        <f t="shared" si="270"/>
        <v>-4770.8</v>
      </c>
      <c r="H570" s="114">
        <f>H571</f>
        <v>879.2</v>
      </c>
      <c r="I570" s="114">
        <f t="shared" si="272"/>
        <v>879.2</v>
      </c>
      <c r="J570" s="114">
        <f t="shared" si="262"/>
        <v>100</v>
      </c>
    </row>
    <row r="571" spans="1:10" s="175" customFormat="1" x14ac:dyDescent="0.2">
      <c r="A571" s="112" t="s">
        <v>85</v>
      </c>
      <c r="B571" s="113" t="s">
        <v>476</v>
      </c>
      <c r="C571" s="113" t="s">
        <v>476</v>
      </c>
      <c r="D571" s="113" t="s">
        <v>591</v>
      </c>
      <c r="E571" s="113" t="s">
        <v>86</v>
      </c>
      <c r="F571" s="114">
        <v>5650</v>
      </c>
      <c r="G571" s="147">
        <f t="shared" si="270"/>
        <v>-4770.8</v>
      </c>
      <c r="H571" s="114">
        <f>5650-4620-100-50.8</f>
        <v>879.2</v>
      </c>
      <c r="I571" s="114">
        <v>879.2</v>
      </c>
      <c r="J571" s="114">
        <f t="shared" si="262"/>
        <v>100</v>
      </c>
    </row>
    <row r="572" spans="1:10" s="175" customFormat="1" ht="24" x14ac:dyDescent="0.2">
      <c r="A572" s="103" t="s">
        <v>65</v>
      </c>
      <c r="B572" s="104" t="s">
        <v>476</v>
      </c>
      <c r="C572" s="104" t="s">
        <v>476</v>
      </c>
      <c r="D572" s="104" t="s">
        <v>592</v>
      </c>
      <c r="E572" s="104"/>
      <c r="F572" s="105">
        <f>F573</f>
        <v>500</v>
      </c>
      <c r="G572" s="147">
        <f t="shared" si="270"/>
        <v>0</v>
      </c>
      <c r="H572" s="105">
        <f>H573</f>
        <v>500</v>
      </c>
      <c r="I572" s="105">
        <f t="shared" ref="I572:I573" si="273">I573</f>
        <v>375</v>
      </c>
      <c r="J572" s="105">
        <f t="shared" si="262"/>
        <v>75</v>
      </c>
    </row>
    <row r="573" spans="1:10" s="175" customFormat="1" ht="11.25" customHeight="1" x14ac:dyDescent="0.2">
      <c r="A573" s="112" t="s">
        <v>593</v>
      </c>
      <c r="B573" s="113" t="s">
        <v>476</v>
      </c>
      <c r="C573" s="113" t="s">
        <v>476</v>
      </c>
      <c r="D573" s="113" t="s">
        <v>592</v>
      </c>
      <c r="E573" s="113" t="s">
        <v>391</v>
      </c>
      <c r="F573" s="114">
        <f>F574</f>
        <v>500</v>
      </c>
      <c r="G573" s="147">
        <f t="shared" si="270"/>
        <v>0</v>
      </c>
      <c r="H573" s="114">
        <f>H574</f>
        <v>500</v>
      </c>
      <c r="I573" s="114">
        <f t="shared" si="273"/>
        <v>375</v>
      </c>
      <c r="J573" s="114">
        <f t="shared" si="262"/>
        <v>75</v>
      </c>
    </row>
    <row r="574" spans="1:10" s="175" customFormat="1" x14ac:dyDescent="0.2">
      <c r="A574" s="197" t="s">
        <v>594</v>
      </c>
      <c r="B574" s="113" t="s">
        <v>476</v>
      </c>
      <c r="C574" s="113" t="s">
        <v>476</v>
      </c>
      <c r="D574" s="113" t="s">
        <v>592</v>
      </c>
      <c r="E574" s="113" t="s">
        <v>448</v>
      </c>
      <c r="F574" s="114">
        <v>500</v>
      </c>
      <c r="G574" s="147">
        <f t="shared" si="270"/>
        <v>0</v>
      </c>
      <c r="H574" s="114">
        <v>500</v>
      </c>
      <c r="I574" s="114">
        <v>375</v>
      </c>
      <c r="J574" s="114">
        <f t="shared" si="262"/>
        <v>75</v>
      </c>
    </row>
    <row r="575" spans="1:10" s="175" customFormat="1" ht="27" x14ac:dyDescent="0.2">
      <c r="A575" s="116" t="s">
        <v>567</v>
      </c>
      <c r="B575" s="107" t="s">
        <v>476</v>
      </c>
      <c r="C575" s="107" t="s">
        <v>476</v>
      </c>
      <c r="D575" s="107" t="s">
        <v>52</v>
      </c>
      <c r="E575" s="113"/>
      <c r="F575" s="105">
        <f>F576</f>
        <v>3000</v>
      </c>
      <c r="G575" s="147">
        <f t="shared" si="270"/>
        <v>-2500</v>
      </c>
      <c r="H575" s="105">
        <f>H576</f>
        <v>500</v>
      </c>
      <c r="I575" s="105">
        <f t="shared" ref="I575:I578" si="274">I576</f>
        <v>500</v>
      </c>
      <c r="J575" s="105">
        <f t="shared" si="262"/>
        <v>100</v>
      </c>
    </row>
    <row r="576" spans="1:10" s="175" customFormat="1" x14ac:dyDescent="0.2">
      <c r="A576" s="134" t="s">
        <v>55</v>
      </c>
      <c r="B576" s="104" t="s">
        <v>476</v>
      </c>
      <c r="C576" s="104" t="s">
        <v>476</v>
      </c>
      <c r="D576" s="104" t="s">
        <v>56</v>
      </c>
      <c r="E576" s="104"/>
      <c r="F576" s="105">
        <f>F577</f>
        <v>3000</v>
      </c>
      <c r="G576" s="147">
        <f t="shared" si="270"/>
        <v>-2500</v>
      </c>
      <c r="H576" s="105">
        <f>H577</f>
        <v>500</v>
      </c>
      <c r="I576" s="105">
        <f t="shared" si="274"/>
        <v>500</v>
      </c>
      <c r="J576" s="105">
        <f t="shared" si="262"/>
        <v>100</v>
      </c>
    </row>
    <row r="577" spans="1:10" s="175" customFormat="1" x14ac:dyDescent="0.2">
      <c r="A577" s="117" t="s">
        <v>345</v>
      </c>
      <c r="B577" s="118" t="s">
        <v>476</v>
      </c>
      <c r="C577" s="118" t="s">
        <v>476</v>
      </c>
      <c r="D577" s="118" t="s">
        <v>568</v>
      </c>
      <c r="E577" s="118"/>
      <c r="F577" s="119">
        <f>F578</f>
        <v>3000</v>
      </c>
      <c r="G577" s="147">
        <f t="shared" si="270"/>
        <v>-2500</v>
      </c>
      <c r="H577" s="119">
        <f>H578</f>
        <v>500</v>
      </c>
      <c r="I577" s="119">
        <f t="shared" si="274"/>
        <v>500</v>
      </c>
      <c r="J577" s="119">
        <f t="shared" si="262"/>
        <v>100</v>
      </c>
    </row>
    <row r="578" spans="1:10" s="175" customFormat="1" x14ac:dyDescent="0.2">
      <c r="A578" s="112" t="s">
        <v>582</v>
      </c>
      <c r="B578" s="113" t="s">
        <v>476</v>
      </c>
      <c r="C578" s="113" t="s">
        <v>476</v>
      </c>
      <c r="D578" s="113" t="s">
        <v>568</v>
      </c>
      <c r="E578" s="113" t="s">
        <v>84</v>
      </c>
      <c r="F578" s="114">
        <f>F579</f>
        <v>3000</v>
      </c>
      <c r="G578" s="147">
        <f t="shared" si="270"/>
        <v>-2500</v>
      </c>
      <c r="H578" s="114">
        <f>H579</f>
        <v>500</v>
      </c>
      <c r="I578" s="114">
        <f t="shared" si="274"/>
        <v>500</v>
      </c>
      <c r="J578" s="114">
        <f t="shared" si="262"/>
        <v>100</v>
      </c>
    </row>
    <row r="579" spans="1:10" s="175" customFormat="1" x14ac:dyDescent="0.2">
      <c r="A579" s="112" t="s">
        <v>85</v>
      </c>
      <c r="B579" s="113" t="s">
        <v>476</v>
      </c>
      <c r="C579" s="113" t="s">
        <v>476</v>
      </c>
      <c r="D579" s="113" t="s">
        <v>568</v>
      </c>
      <c r="E579" s="113" t="s">
        <v>86</v>
      </c>
      <c r="F579" s="114">
        <v>3000</v>
      </c>
      <c r="G579" s="147">
        <f t="shared" si="270"/>
        <v>-2500</v>
      </c>
      <c r="H579" s="114">
        <f>3000-2500</f>
        <v>500</v>
      </c>
      <c r="I579" s="114">
        <v>500</v>
      </c>
      <c r="J579" s="114">
        <f t="shared" si="262"/>
        <v>100</v>
      </c>
    </row>
    <row r="580" spans="1:10" s="175" customFormat="1" x14ac:dyDescent="0.2">
      <c r="A580" s="138" t="s">
        <v>74</v>
      </c>
      <c r="B580" s="118" t="s">
        <v>476</v>
      </c>
      <c r="C580" s="118" t="s">
        <v>476</v>
      </c>
      <c r="D580" s="118" t="s">
        <v>209</v>
      </c>
      <c r="E580" s="118"/>
      <c r="F580" s="119">
        <f>F581</f>
        <v>750</v>
      </c>
      <c r="G580" s="147">
        <f t="shared" si="270"/>
        <v>-372.58616000000001</v>
      </c>
      <c r="H580" s="119">
        <f>H581</f>
        <v>377.41383999999999</v>
      </c>
      <c r="I580" s="119">
        <f t="shared" ref="I580:I581" si="275">I581</f>
        <v>210.00592</v>
      </c>
      <c r="J580" s="119">
        <f t="shared" si="262"/>
        <v>55.643407247598553</v>
      </c>
    </row>
    <row r="581" spans="1:10" s="175" customFormat="1" x14ac:dyDescent="0.2">
      <c r="A581" s="120" t="s">
        <v>297</v>
      </c>
      <c r="B581" s="104" t="s">
        <v>476</v>
      </c>
      <c r="C581" s="104" t="s">
        <v>476</v>
      </c>
      <c r="D581" s="104" t="s">
        <v>210</v>
      </c>
      <c r="E581" s="104"/>
      <c r="F581" s="105">
        <f>F582</f>
        <v>750</v>
      </c>
      <c r="G581" s="147">
        <f t="shared" si="270"/>
        <v>-372.58616000000001</v>
      </c>
      <c r="H581" s="105">
        <f>H582</f>
        <v>377.41383999999999</v>
      </c>
      <c r="I581" s="105">
        <f t="shared" si="275"/>
        <v>210.00592</v>
      </c>
      <c r="J581" s="105">
        <f t="shared" si="262"/>
        <v>55.643407247598553</v>
      </c>
    </row>
    <row r="582" spans="1:10" s="175" customFormat="1" x14ac:dyDescent="0.2">
      <c r="A582" s="138" t="s">
        <v>316</v>
      </c>
      <c r="B582" s="118" t="s">
        <v>476</v>
      </c>
      <c r="C582" s="118" t="s">
        <v>476</v>
      </c>
      <c r="D582" s="118" t="s">
        <v>340</v>
      </c>
      <c r="E582" s="118"/>
      <c r="F582" s="119">
        <f>F583</f>
        <v>750</v>
      </c>
      <c r="G582" s="147">
        <f t="shared" si="270"/>
        <v>-372.58616000000001</v>
      </c>
      <c r="H582" s="119">
        <f>H583+H585</f>
        <v>377.41383999999999</v>
      </c>
      <c r="I582" s="119">
        <f t="shared" ref="I582" si="276">I583+I585</f>
        <v>210.00592</v>
      </c>
      <c r="J582" s="119">
        <f t="shared" si="262"/>
        <v>55.643407247598553</v>
      </c>
    </row>
    <row r="583" spans="1:10" s="175" customFormat="1" x14ac:dyDescent="0.2">
      <c r="A583" s="112" t="s">
        <v>582</v>
      </c>
      <c r="B583" s="113" t="s">
        <v>476</v>
      </c>
      <c r="C583" s="113" t="s">
        <v>476</v>
      </c>
      <c r="D583" s="113" t="s">
        <v>340</v>
      </c>
      <c r="E583" s="113" t="s">
        <v>84</v>
      </c>
      <c r="F583" s="114">
        <f>F584</f>
        <v>750</v>
      </c>
      <c r="G583" s="147">
        <f t="shared" si="270"/>
        <v>-677.23341000000005</v>
      </c>
      <c r="H583" s="114">
        <f>H584</f>
        <v>72.766590000000008</v>
      </c>
      <c r="I583" s="114">
        <f t="shared" ref="I583" si="277">I584</f>
        <v>71.771230000000003</v>
      </c>
      <c r="J583" s="114">
        <f t="shared" si="262"/>
        <v>98.632119493300422</v>
      </c>
    </row>
    <row r="584" spans="1:10" s="175" customFormat="1" x14ac:dyDescent="0.2">
      <c r="A584" s="112" t="s">
        <v>85</v>
      </c>
      <c r="B584" s="113" t="s">
        <v>476</v>
      </c>
      <c r="C584" s="113" t="s">
        <v>476</v>
      </c>
      <c r="D584" s="113" t="s">
        <v>340</v>
      </c>
      <c r="E584" s="113" t="s">
        <v>86</v>
      </c>
      <c r="F584" s="114">
        <v>750</v>
      </c>
      <c r="G584" s="147">
        <f t="shared" si="270"/>
        <v>-677.23341000000005</v>
      </c>
      <c r="H584" s="114">
        <f>750-304.64725-192.58616-180</f>
        <v>72.766590000000008</v>
      </c>
      <c r="I584" s="114">
        <v>71.771230000000003</v>
      </c>
      <c r="J584" s="114">
        <f t="shared" si="262"/>
        <v>98.632119493300422</v>
      </c>
    </row>
    <row r="585" spans="1:10" s="175" customFormat="1" x14ac:dyDescent="0.2">
      <c r="A585" s="112" t="s">
        <v>104</v>
      </c>
      <c r="B585" s="113" t="s">
        <v>476</v>
      </c>
      <c r="C585" s="113" t="s">
        <v>476</v>
      </c>
      <c r="D585" s="113" t="s">
        <v>340</v>
      </c>
      <c r="E585" s="113" t="s">
        <v>391</v>
      </c>
      <c r="F585" s="114"/>
      <c r="G585" s="147"/>
      <c r="H585" s="114">
        <f>H586</f>
        <v>304.64724999999999</v>
      </c>
      <c r="I585" s="114">
        <f t="shared" ref="I585" si="278">I586</f>
        <v>138.23469</v>
      </c>
      <c r="J585" s="114">
        <f t="shared" si="262"/>
        <v>45.375328351068326</v>
      </c>
    </row>
    <row r="586" spans="1:10" s="175" customFormat="1" x14ac:dyDescent="0.2">
      <c r="A586" s="112" t="s">
        <v>105</v>
      </c>
      <c r="B586" s="113" t="s">
        <v>476</v>
      </c>
      <c r="C586" s="113" t="s">
        <v>476</v>
      </c>
      <c r="D586" s="113" t="s">
        <v>340</v>
      </c>
      <c r="E586" s="113" t="s">
        <v>409</v>
      </c>
      <c r="F586" s="114"/>
      <c r="G586" s="147"/>
      <c r="H586" s="114">
        <v>304.64724999999999</v>
      </c>
      <c r="I586" s="114">
        <v>138.23469</v>
      </c>
      <c r="J586" s="114">
        <f t="shared" si="262"/>
        <v>45.375328351068326</v>
      </c>
    </row>
    <row r="587" spans="1:10" s="175" customFormat="1" x14ac:dyDescent="0.2">
      <c r="A587" s="103" t="s">
        <v>368</v>
      </c>
      <c r="B587" s="104" t="s">
        <v>476</v>
      </c>
      <c r="C587" s="104" t="s">
        <v>470</v>
      </c>
      <c r="D587" s="104"/>
      <c r="E587" s="113"/>
      <c r="F587" s="105" t="e">
        <f>F588+F624</f>
        <v>#REF!</v>
      </c>
      <c r="G587" s="147" t="e">
        <f t="shared" si="270"/>
        <v>#REF!</v>
      </c>
      <c r="H587" s="105">
        <f>H588+H624+H631</f>
        <v>171152.38231000002</v>
      </c>
      <c r="I587" s="105">
        <f>I588+I624+I631</f>
        <v>163163.59127999999</v>
      </c>
      <c r="J587" s="105">
        <f t="shared" si="262"/>
        <v>95.332351836312554</v>
      </c>
    </row>
    <row r="588" spans="1:10" s="175" customFormat="1" ht="27" x14ac:dyDescent="0.2">
      <c r="A588" s="116" t="s">
        <v>667</v>
      </c>
      <c r="B588" s="107" t="s">
        <v>476</v>
      </c>
      <c r="C588" s="107" t="s">
        <v>470</v>
      </c>
      <c r="D588" s="107" t="s">
        <v>160</v>
      </c>
      <c r="E588" s="113"/>
      <c r="F588" s="108" t="e">
        <f>F589+F598+F615</f>
        <v>#REF!</v>
      </c>
      <c r="G588" s="147" t="e">
        <f t="shared" si="270"/>
        <v>#REF!</v>
      </c>
      <c r="H588" s="108">
        <f>H589+H598+H615</f>
        <v>117143.2</v>
      </c>
      <c r="I588" s="108">
        <f>I589+I598+I615</f>
        <v>109448.50992</v>
      </c>
      <c r="J588" s="108">
        <f t="shared" si="262"/>
        <v>93.431381352054572</v>
      </c>
    </row>
    <row r="589" spans="1:10" s="175" customFormat="1" x14ac:dyDescent="0.2">
      <c r="A589" s="103" t="s">
        <v>267</v>
      </c>
      <c r="B589" s="104" t="s">
        <v>476</v>
      </c>
      <c r="C589" s="104" t="s">
        <v>470</v>
      </c>
      <c r="D589" s="104" t="s">
        <v>161</v>
      </c>
      <c r="E589" s="104"/>
      <c r="F589" s="105">
        <f>F590+F594</f>
        <v>86451.199999999997</v>
      </c>
      <c r="G589" s="147">
        <f t="shared" si="270"/>
        <v>14500</v>
      </c>
      <c r="H589" s="105">
        <f>H590+H594</f>
        <v>100951.2</v>
      </c>
      <c r="I589" s="105">
        <f>I590+I594</f>
        <v>94471.177129999996</v>
      </c>
      <c r="J589" s="105">
        <f t="shared" si="262"/>
        <v>93.581034331439355</v>
      </c>
    </row>
    <row r="590" spans="1:10" s="175" customFormat="1" x14ac:dyDescent="0.2">
      <c r="A590" s="117" t="s">
        <v>274</v>
      </c>
      <c r="B590" s="118" t="s">
        <v>476</v>
      </c>
      <c r="C590" s="118" t="s">
        <v>470</v>
      </c>
      <c r="D590" s="118" t="s">
        <v>273</v>
      </c>
      <c r="E590" s="118"/>
      <c r="F590" s="119">
        <f>F591</f>
        <v>9279.2000000000007</v>
      </c>
      <c r="G590" s="147">
        <f t="shared" si="270"/>
        <v>14500</v>
      </c>
      <c r="H590" s="119">
        <f>H591</f>
        <v>23779.200000000001</v>
      </c>
      <c r="I590" s="119">
        <f>I591</f>
        <v>21847.220539999998</v>
      </c>
      <c r="J590" s="119">
        <f t="shared" si="262"/>
        <v>91.875338699367504</v>
      </c>
    </row>
    <row r="591" spans="1:10" s="175" customFormat="1" x14ac:dyDescent="0.2">
      <c r="A591" s="112" t="s">
        <v>104</v>
      </c>
      <c r="B591" s="113" t="s">
        <v>476</v>
      </c>
      <c r="C591" s="113" t="s">
        <v>470</v>
      </c>
      <c r="D591" s="113" t="s">
        <v>660</v>
      </c>
      <c r="E591" s="113" t="s">
        <v>391</v>
      </c>
      <c r="F591" s="114">
        <f>F592</f>
        <v>9279.2000000000007</v>
      </c>
      <c r="G591" s="147">
        <f t="shared" si="270"/>
        <v>14500</v>
      </c>
      <c r="H591" s="114">
        <f>H592+H593</f>
        <v>23779.200000000001</v>
      </c>
      <c r="I591" s="114">
        <f t="shared" ref="I591" si="279">I592+I593</f>
        <v>21847.220539999998</v>
      </c>
      <c r="J591" s="114">
        <f t="shared" si="262"/>
        <v>91.875338699367504</v>
      </c>
    </row>
    <row r="592" spans="1:10" s="175" customFormat="1" x14ac:dyDescent="0.2">
      <c r="A592" s="112" t="s">
        <v>105</v>
      </c>
      <c r="B592" s="113" t="s">
        <v>476</v>
      </c>
      <c r="C592" s="113" t="s">
        <v>470</v>
      </c>
      <c r="D592" s="113" t="s">
        <v>660</v>
      </c>
      <c r="E592" s="113" t="s">
        <v>409</v>
      </c>
      <c r="F592" s="114">
        <v>9279.2000000000007</v>
      </c>
      <c r="G592" s="147">
        <f t="shared" si="270"/>
        <v>12706.901000000002</v>
      </c>
      <c r="H592" s="114">
        <f>9279.2-1000+14200-493.099</f>
        <v>21986.101000000002</v>
      </c>
      <c r="I592" s="114">
        <v>20054.13754</v>
      </c>
      <c r="J592" s="114">
        <f t="shared" si="262"/>
        <v>91.212796393503325</v>
      </c>
    </row>
    <row r="593" spans="1:10" s="175" customFormat="1" x14ac:dyDescent="0.2">
      <c r="A593" s="112" t="s">
        <v>502</v>
      </c>
      <c r="B593" s="113" t="s">
        <v>476</v>
      </c>
      <c r="C593" s="113" t="s">
        <v>470</v>
      </c>
      <c r="D593" s="113" t="s">
        <v>660</v>
      </c>
      <c r="E593" s="113" t="s">
        <v>503</v>
      </c>
      <c r="F593" s="114"/>
      <c r="G593" s="147"/>
      <c r="H593" s="114">
        <f>1000+300+493.099</f>
        <v>1793.0989999999999</v>
      </c>
      <c r="I593" s="114">
        <v>1793.0830000000001</v>
      </c>
      <c r="J593" s="114">
        <f t="shared" si="262"/>
        <v>99.999107690094093</v>
      </c>
    </row>
    <row r="594" spans="1:10" s="175" customFormat="1" x14ac:dyDescent="0.2">
      <c r="A594" s="117" t="s">
        <v>281</v>
      </c>
      <c r="B594" s="132" t="s">
        <v>476</v>
      </c>
      <c r="C594" s="132" t="s">
        <v>470</v>
      </c>
      <c r="D594" s="118" t="s">
        <v>275</v>
      </c>
      <c r="E594" s="118"/>
      <c r="F594" s="119">
        <f>F595</f>
        <v>77172</v>
      </c>
      <c r="G594" s="147">
        <f t="shared" si="270"/>
        <v>0</v>
      </c>
      <c r="H594" s="119">
        <f>H595</f>
        <v>77172</v>
      </c>
      <c r="I594" s="119">
        <f t="shared" ref="I594" si="280">I595</f>
        <v>72623.956590000002</v>
      </c>
      <c r="J594" s="119">
        <f t="shared" si="262"/>
        <v>94.106614562276476</v>
      </c>
    </row>
    <row r="595" spans="1:10" s="175" customFormat="1" x14ac:dyDescent="0.2">
      <c r="A595" s="112" t="s">
        <v>104</v>
      </c>
      <c r="B595" s="113" t="s">
        <v>476</v>
      </c>
      <c r="C595" s="113" t="s">
        <v>470</v>
      </c>
      <c r="D595" s="113" t="s">
        <v>661</v>
      </c>
      <c r="E595" s="113" t="s">
        <v>391</v>
      </c>
      <c r="F595" s="114">
        <f>F596+F597</f>
        <v>77172</v>
      </c>
      <c r="G595" s="147">
        <f t="shared" si="270"/>
        <v>0</v>
      </c>
      <c r="H595" s="114">
        <f>H596+H597</f>
        <v>77172</v>
      </c>
      <c r="I595" s="114">
        <f t="shared" ref="I595" si="281">I596+I597</f>
        <v>72623.956590000002</v>
      </c>
      <c r="J595" s="114">
        <f t="shared" si="262"/>
        <v>94.106614562276476</v>
      </c>
    </row>
    <row r="596" spans="1:10" s="175" customFormat="1" x14ac:dyDescent="0.2">
      <c r="A596" s="112" t="s">
        <v>105</v>
      </c>
      <c r="B596" s="113" t="s">
        <v>476</v>
      </c>
      <c r="C596" s="113" t="s">
        <v>470</v>
      </c>
      <c r="D596" s="113" t="s">
        <v>661</v>
      </c>
      <c r="E596" s="113" t="s">
        <v>409</v>
      </c>
      <c r="F596" s="114">
        <v>68670</v>
      </c>
      <c r="G596" s="147">
        <f t="shared" si="270"/>
        <v>1780.4020000000019</v>
      </c>
      <c r="H596" s="114">
        <f>68670+1241+421.652+117.75</f>
        <v>70450.402000000002</v>
      </c>
      <c r="I596" s="114">
        <v>66784.584950000004</v>
      </c>
      <c r="J596" s="114">
        <f t="shared" si="262"/>
        <v>94.796598818556063</v>
      </c>
    </row>
    <row r="597" spans="1:10" s="175" customFormat="1" x14ac:dyDescent="0.2">
      <c r="A597" s="112" t="s">
        <v>502</v>
      </c>
      <c r="B597" s="113" t="s">
        <v>476</v>
      </c>
      <c r="C597" s="113" t="s">
        <v>470</v>
      </c>
      <c r="D597" s="113" t="s">
        <v>661</v>
      </c>
      <c r="E597" s="113" t="s">
        <v>503</v>
      </c>
      <c r="F597" s="114">
        <v>8502</v>
      </c>
      <c r="G597" s="147">
        <f t="shared" si="270"/>
        <v>-1780.402</v>
      </c>
      <c r="H597" s="114">
        <f>8502-1241-421.652-117.75</f>
        <v>6721.598</v>
      </c>
      <c r="I597" s="114">
        <v>5839.3716400000003</v>
      </c>
      <c r="J597" s="114">
        <f t="shared" si="262"/>
        <v>86.874752700176359</v>
      </c>
    </row>
    <row r="598" spans="1:10" s="175" customFormat="1" x14ac:dyDescent="0.2">
      <c r="A598" s="103" t="s">
        <v>444</v>
      </c>
      <c r="B598" s="104" t="s">
        <v>476</v>
      </c>
      <c r="C598" s="104" t="s">
        <v>470</v>
      </c>
      <c r="D598" s="104" t="s">
        <v>168</v>
      </c>
      <c r="E598" s="104"/>
      <c r="F598" s="105" t="e">
        <f>F599+F607+F610</f>
        <v>#REF!</v>
      </c>
      <c r="G598" s="147" t="e">
        <f t="shared" si="270"/>
        <v>#REF!</v>
      </c>
      <c r="H598" s="105">
        <f>H599+H607+H610</f>
        <v>6170</v>
      </c>
      <c r="I598" s="105">
        <f t="shared" ref="I598" si="282">I599+I607+I610</f>
        <v>5017.079020000001</v>
      </c>
      <c r="J598" s="105">
        <f t="shared" si="262"/>
        <v>81.314084602917362</v>
      </c>
    </row>
    <row r="599" spans="1:10" s="175" customFormat="1" x14ac:dyDescent="0.2">
      <c r="A599" s="134" t="s">
        <v>171</v>
      </c>
      <c r="B599" s="104" t="s">
        <v>476</v>
      </c>
      <c r="C599" s="104" t="s">
        <v>470</v>
      </c>
      <c r="D599" s="104" t="s">
        <v>138</v>
      </c>
      <c r="E599" s="118"/>
      <c r="F599" s="105">
        <f>F600</f>
        <v>3985</v>
      </c>
      <c r="G599" s="147">
        <f t="shared" si="270"/>
        <v>100</v>
      </c>
      <c r="H599" s="105">
        <f>H600</f>
        <v>4085</v>
      </c>
      <c r="I599" s="105">
        <f t="shared" ref="I599" si="283">I600</f>
        <v>4072.1840200000001</v>
      </c>
      <c r="J599" s="105">
        <f t="shared" si="262"/>
        <v>99.68626731946145</v>
      </c>
    </row>
    <row r="600" spans="1:10" s="175" customFormat="1" x14ac:dyDescent="0.2">
      <c r="A600" s="136" t="s">
        <v>471</v>
      </c>
      <c r="B600" s="132" t="s">
        <v>476</v>
      </c>
      <c r="C600" s="132" t="s">
        <v>470</v>
      </c>
      <c r="D600" s="132" t="s">
        <v>663</v>
      </c>
      <c r="E600" s="132"/>
      <c r="F600" s="137">
        <f>F601+F603+F605</f>
        <v>3985</v>
      </c>
      <c r="G600" s="147">
        <f t="shared" si="270"/>
        <v>100</v>
      </c>
      <c r="H600" s="137">
        <f>H601+H603+H605</f>
        <v>4085</v>
      </c>
      <c r="I600" s="137">
        <f t="shared" ref="I600" si="284">I601+I603+I605</f>
        <v>4072.1840200000001</v>
      </c>
      <c r="J600" s="137">
        <f t="shared" si="262"/>
        <v>99.68626731946145</v>
      </c>
    </row>
    <row r="601" spans="1:10" s="175" customFormat="1" ht="24" x14ac:dyDescent="0.2">
      <c r="A601" s="112" t="s">
        <v>79</v>
      </c>
      <c r="B601" s="113" t="s">
        <v>476</v>
      </c>
      <c r="C601" s="113" t="s">
        <v>470</v>
      </c>
      <c r="D601" s="113" t="s">
        <v>663</v>
      </c>
      <c r="E601" s="113" t="s">
        <v>80</v>
      </c>
      <c r="F601" s="114">
        <f>F602</f>
        <v>3800</v>
      </c>
      <c r="G601" s="147">
        <f t="shared" si="270"/>
        <v>162.34999999999991</v>
      </c>
      <c r="H601" s="114">
        <f>H602</f>
        <v>3962.35</v>
      </c>
      <c r="I601" s="114">
        <f t="shared" ref="I601" si="285">I602</f>
        <v>3962.35</v>
      </c>
      <c r="J601" s="114">
        <f t="shared" si="262"/>
        <v>100</v>
      </c>
    </row>
    <row r="602" spans="1:10" s="175" customFormat="1" x14ac:dyDescent="0.2">
      <c r="A602" s="112" t="s">
        <v>472</v>
      </c>
      <c r="B602" s="113" t="s">
        <v>476</v>
      </c>
      <c r="C602" s="113" t="s">
        <v>470</v>
      </c>
      <c r="D602" s="113" t="s">
        <v>663</v>
      </c>
      <c r="E602" s="113" t="s">
        <v>473</v>
      </c>
      <c r="F602" s="114">
        <f>2920+880</f>
        <v>3800</v>
      </c>
      <c r="G602" s="147">
        <f t="shared" si="270"/>
        <v>162.34999999999991</v>
      </c>
      <c r="H602" s="114">
        <f>2920+880+162.35</f>
        <v>3962.35</v>
      </c>
      <c r="I602" s="114">
        <v>3962.35</v>
      </c>
      <c r="J602" s="114">
        <f t="shared" si="262"/>
        <v>100</v>
      </c>
    </row>
    <row r="603" spans="1:10" s="175" customFormat="1" x14ac:dyDescent="0.2">
      <c r="A603" s="112" t="s">
        <v>294</v>
      </c>
      <c r="B603" s="113" t="s">
        <v>476</v>
      </c>
      <c r="C603" s="113" t="s">
        <v>470</v>
      </c>
      <c r="D603" s="113" t="s">
        <v>663</v>
      </c>
      <c r="E603" s="113" t="s">
        <v>84</v>
      </c>
      <c r="F603" s="114">
        <f>F604</f>
        <v>180</v>
      </c>
      <c r="G603" s="147">
        <f t="shared" si="270"/>
        <v>-62.349999999999994</v>
      </c>
      <c r="H603" s="114">
        <f>H604</f>
        <v>117.65</v>
      </c>
      <c r="I603" s="114">
        <f t="shared" ref="I603" si="286">I604</f>
        <v>109.83320000000001</v>
      </c>
      <c r="J603" s="114">
        <f t="shared" si="262"/>
        <v>93.355886102847435</v>
      </c>
    </row>
    <row r="604" spans="1:10" s="175" customFormat="1" x14ac:dyDescent="0.2">
      <c r="A604" s="112" t="s">
        <v>85</v>
      </c>
      <c r="B604" s="113" t="s">
        <v>476</v>
      </c>
      <c r="C604" s="113" t="s">
        <v>470</v>
      </c>
      <c r="D604" s="113" t="s">
        <v>663</v>
      </c>
      <c r="E604" s="113" t="s">
        <v>86</v>
      </c>
      <c r="F604" s="114">
        <f>50+80+50</f>
        <v>180</v>
      </c>
      <c r="G604" s="147">
        <f t="shared" si="270"/>
        <v>-62.349999999999994</v>
      </c>
      <c r="H604" s="114">
        <f>50+80+50-42.14-20.21</f>
        <v>117.65</v>
      </c>
      <c r="I604" s="114">
        <v>109.83320000000001</v>
      </c>
      <c r="J604" s="114">
        <f t="shared" si="262"/>
        <v>93.355886102847435</v>
      </c>
    </row>
    <row r="605" spans="1:10" s="175" customFormat="1" x14ac:dyDescent="0.2">
      <c r="A605" s="112" t="s">
        <v>87</v>
      </c>
      <c r="B605" s="113" t="s">
        <v>476</v>
      </c>
      <c r="C605" s="113" t="s">
        <v>470</v>
      </c>
      <c r="D605" s="113" t="s">
        <v>663</v>
      </c>
      <c r="E605" s="113" t="s">
        <v>88</v>
      </c>
      <c r="F605" s="165">
        <f>F606</f>
        <v>5</v>
      </c>
      <c r="G605" s="147">
        <f t="shared" si="270"/>
        <v>0</v>
      </c>
      <c r="H605" s="165">
        <f>H606</f>
        <v>5</v>
      </c>
      <c r="I605" s="165">
        <f t="shared" ref="I605" si="287">I606</f>
        <v>8.1999999999999998E-4</v>
      </c>
      <c r="J605" s="114">
        <f t="shared" si="262"/>
        <v>1.6400000000000001E-2</v>
      </c>
    </row>
    <row r="606" spans="1:10" s="175" customFormat="1" x14ac:dyDescent="0.2">
      <c r="A606" s="112" t="s">
        <v>154</v>
      </c>
      <c r="B606" s="113" t="s">
        <v>476</v>
      </c>
      <c r="C606" s="113" t="s">
        <v>470</v>
      </c>
      <c r="D606" s="113" t="s">
        <v>663</v>
      </c>
      <c r="E606" s="113" t="s">
        <v>89</v>
      </c>
      <c r="F606" s="165">
        <v>5</v>
      </c>
      <c r="G606" s="147">
        <f t="shared" si="270"/>
        <v>0</v>
      </c>
      <c r="H606" s="165">
        <v>5</v>
      </c>
      <c r="I606" s="165">
        <v>8.1999999999999998E-4</v>
      </c>
      <c r="J606" s="114">
        <f t="shared" si="262"/>
        <v>1.6400000000000001E-2</v>
      </c>
    </row>
    <row r="607" spans="1:10" s="175" customFormat="1" ht="24" x14ac:dyDescent="0.2">
      <c r="A607" s="121" t="s">
        <v>282</v>
      </c>
      <c r="B607" s="118" t="s">
        <v>476</v>
      </c>
      <c r="C607" s="118" t="s">
        <v>470</v>
      </c>
      <c r="D607" s="118" t="s">
        <v>664</v>
      </c>
      <c r="E607" s="118"/>
      <c r="F607" s="119" t="e">
        <f>#REF!+F608</f>
        <v>#REF!</v>
      </c>
      <c r="G607" s="147" t="e">
        <f t="shared" si="270"/>
        <v>#REF!</v>
      </c>
      <c r="H607" s="119">
        <f>H608</f>
        <v>1535</v>
      </c>
      <c r="I607" s="119">
        <f t="shared" ref="I607:I608" si="288">I608</f>
        <v>578.36599999999999</v>
      </c>
      <c r="J607" s="119">
        <f t="shared" si="262"/>
        <v>37.678566775244299</v>
      </c>
    </row>
    <row r="608" spans="1:10" s="175" customFormat="1" x14ac:dyDescent="0.2">
      <c r="A608" s="112" t="s">
        <v>294</v>
      </c>
      <c r="B608" s="113" t="s">
        <v>476</v>
      </c>
      <c r="C608" s="113" t="s">
        <v>470</v>
      </c>
      <c r="D608" s="113" t="s">
        <v>664</v>
      </c>
      <c r="E608" s="113" t="s">
        <v>84</v>
      </c>
      <c r="F608" s="114">
        <f>F609</f>
        <v>1310</v>
      </c>
      <c r="G608" s="147">
        <f t="shared" si="270"/>
        <v>225</v>
      </c>
      <c r="H608" s="114">
        <f>H609</f>
        <v>1535</v>
      </c>
      <c r="I608" s="114">
        <f t="shared" si="288"/>
        <v>578.36599999999999</v>
      </c>
      <c r="J608" s="114">
        <f t="shared" si="262"/>
        <v>37.678566775244299</v>
      </c>
    </row>
    <row r="609" spans="1:10" s="175" customFormat="1" x14ac:dyDescent="0.2">
      <c r="A609" s="112" t="s">
        <v>85</v>
      </c>
      <c r="B609" s="113" t="s">
        <v>476</v>
      </c>
      <c r="C609" s="113" t="s">
        <v>470</v>
      </c>
      <c r="D609" s="113" t="s">
        <v>664</v>
      </c>
      <c r="E609" s="113" t="s">
        <v>86</v>
      </c>
      <c r="F609" s="114">
        <v>1310</v>
      </c>
      <c r="G609" s="147">
        <f t="shared" si="270"/>
        <v>225</v>
      </c>
      <c r="H609" s="114">
        <f>1310+175+50</f>
        <v>1535</v>
      </c>
      <c r="I609" s="114">
        <v>578.36599999999999</v>
      </c>
      <c r="J609" s="114">
        <f t="shared" si="262"/>
        <v>37.678566775244299</v>
      </c>
    </row>
    <row r="610" spans="1:10" s="175" customFormat="1" ht="36" x14ac:dyDescent="0.2">
      <c r="A610" s="121" t="s">
        <v>442</v>
      </c>
      <c r="B610" s="118" t="s">
        <v>476</v>
      </c>
      <c r="C610" s="118" t="s">
        <v>470</v>
      </c>
      <c r="D610" s="118" t="s">
        <v>665</v>
      </c>
      <c r="E610" s="118"/>
      <c r="F610" s="119" t="e">
        <f>#REF!+F611+F613</f>
        <v>#REF!</v>
      </c>
      <c r="G610" s="147" t="e">
        <f t="shared" si="270"/>
        <v>#REF!</v>
      </c>
      <c r="H610" s="119">
        <f>H611+H613</f>
        <v>550</v>
      </c>
      <c r="I610" s="119">
        <f t="shared" ref="I610" si="289">I611+I613</f>
        <v>366.529</v>
      </c>
      <c r="J610" s="105">
        <f t="shared" si="262"/>
        <v>66.641636363636366</v>
      </c>
    </row>
    <row r="611" spans="1:10" s="175" customFormat="1" x14ac:dyDescent="0.2">
      <c r="A611" s="112" t="s">
        <v>294</v>
      </c>
      <c r="B611" s="113" t="s">
        <v>476</v>
      </c>
      <c r="C611" s="113" t="s">
        <v>470</v>
      </c>
      <c r="D611" s="113" t="s">
        <v>665</v>
      </c>
      <c r="E611" s="113" t="s">
        <v>84</v>
      </c>
      <c r="F611" s="114">
        <f>F612</f>
        <v>205</v>
      </c>
      <c r="G611" s="147">
        <f t="shared" si="270"/>
        <v>155</v>
      </c>
      <c r="H611" s="114">
        <f>H612</f>
        <v>360</v>
      </c>
      <c r="I611" s="114">
        <f t="shared" ref="I611" si="290">I612</f>
        <v>280.59899999999999</v>
      </c>
      <c r="J611" s="114">
        <f t="shared" si="262"/>
        <v>77.944166666666661</v>
      </c>
    </row>
    <row r="612" spans="1:10" s="175" customFormat="1" x14ac:dyDescent="0.2">
      <c r="A612" s="112" t="s">
        <v>85</v>
      </c>
      <c r="B612" s="113" t="s">
        <v>476</v>
      </c>
      <c r="C612" s="113" t="s">
        <v>470</v>
      </c>
      <c r="D612" s="113" t="s">
        <v>665</v>
      </c>
      <c r="E612" s="113" t="s">
        <v>86</v>
      </c>
      <c r="F612" s="114">
        <v>205</v>
      </c>
      <c r="G612" s="147">
        <f t="shared" si="270"/>
        <v>155</v>
      </c>
      <c r="H612" s="114">
        <f>205+25+130</f>
        <v>360</v>
      </c>
      <c r="I612" s="114">
        <v>280.59899999999999</v>
      </c>
      <c r="J612" s="114">
        <f t="shared" ref="J612:J680" si="291">I612/H612*100</f>
        <v>77.944166666666661</v>
      </c>
    </row>
    <row r="613" spans="1:10" s="175" customFormat="1" x14ac:dyDescent="0.2">
      <c r="A613" s="112" t="s">
        <v>95</v>
      </c>
      <c r="B613" s="113" t="s">
        <v>476</v>
      </c>
      <c r="C613" s="113" t="s">
        <v>470</v>
      </c>
      <c r="D613" s="113" t="s">
        <v>665</v>
      </c>
      <c r="E613" s="113" t="s">
        <v>94</v>
      </c>
      <c r="F613" s="114">
        <f>F614</f>
        <v>190</v>
      </c>
      <c r="G613" s="147">
        <f t="shared" si="270"/>
        <v>0</v>
      </c>
      <c r="H613" s="114">
        <f>H614</f>
        <v>190</v>
      </c>
      <c r="I613" s="114">
        <f t="shared" ref="I613" si="292">I614</f>
        <v>85.93</v>
      </c>
      <c r="J613" s="114">
        <f t="shared" si="291"/>
        <v>45.226315789473688</v>
      </c>
    </row>
    <row r="614" spans="1:10" s="175" customFormat="1" x14ac:dyDescent="0.2">
      <c r="A614" s="112" t="s">
        <v>676</v>
      </c>
      <c r="B614" s="113" t="s">
        <v>476</v>
      </c>
      <c r="C614" s="113" t="s">
        <v>470</v>
      </c>
      <c r="D614" s="113" t="s">
        <v>665</v>
      </c>
      <c r="E614" s="113" t="s">
        <v>656</v>
      </c>
      <c r="F614" s="114">
        <v>190</v>
      </c>
      <c r="G614" s="147">
        <f t="shared" si="270"/>
        <v>0</v>
      </c>
      <c r="H614" s="114">
        <v>190</v>
      </c>
      <c r="I614" s="114">
        <v>85.93</v>
      </c>
      <c r="J614" s="114">
        <f t="shared" si="291"/>
        <v>45.226315789473688</v>
      </c>
    </row>
    <row r="615" spans="1:10" s="175" customFormat="1" ht="24" x14ac:dyDescent="0.2">
      <c r="A615" s="134" t="s">
        <v>675</v>
      </c>
      <c r="B615" s="104" t="s">
        <v>476</v>
      </c>
      <c r="C615" s="104" t="s">
        <v>470</v>
      </c>
      <c r="D615" s="104" t="s">
        <v>170</v>
      </c>
      <c r="E615" s="104"/>
      <c r="F615" s="105" t="e">
        <f>F616</f>
        <v>#REF!</v>
      </c>
      <c r="G615" s="147" t="e">
        <f t="shared" si="270"/>
        <v>#REF!</v>
      </c>
      <c r="H615" s="105">
        <f>H616</f>
        <v>10022</v>
      </c>
      <c r="I615" s="105">
        <f t="shared" ref="I615:I616" si="293">I616</f>
        <v>9960.2537699999993</v>
      </c>
      <c r="J615" s="105">
        <f t="shared" si="291"/>
        <v>99.383893135102767</v>
      </c>
    </row>
    <row r="616" spans="1:10" s="175" customFormat="1" x14ac:dyDescent="0.2">
      <c r="A616" s="166" t="s">
        <v>175</v>
      </c>
      <c r="B616" s="104" t="s">
        <v>476</v>
      </c>
      <c r="C616" s="104" t="s">
        <v>470</v>
      </c>
      <c r="D616" s="104" t="s">
        <v>170</v>
      </c>
      <c r="E616" s="104"/>
      <c r="F616" s="105" t="e">
        <f>F617</f>
        <v>#REF!</v>
      </c>
      <c r="G616" s="147" t="e">
        <f t="shared" si="270"/>
        <v>#REF!</v>
      </c>
      <c r="H616" s="105">
        <f>H617</f>
        <v>10022</v>
      </c>
      <c r="I616" s="105">
        <f t="shared" si="293"/>
        <v>9960.2537699999993</v>
      </c>
      <c r="J616" s="105">
        <f t="shared" si="291"/>
        <v>99.383893135102767</v>
      </c>
    </row>
    <row r="617" spans="1:10" s="175" customFormat="1" ht="24" x14ac:dyDescent="0.2">
      <c r="A617" s="117" t="s">
        <v>393</v>
      </c>
      <c r="B617" s="118" t="s">
        <v>476</v>
      </c>
      <c r="C617" s="118" t="s">
        <v>470</v>
      </c>
      <c r="D617" s="118" t="s">
        <v>170</v>
      </c>
      <c r="E617" s="118"/>
      <c r="F617" s="119" t="e">
        <f>F618+F621</f>
        <v>#REF!</v>
      </c>
      <c r="G617" s="147" t="e">
        <f t="shared" si="270"/>
        <v>#REF!</v>
      </c>
      <c r="H617" s="119">
        <f>H618+H621</f>
        <v>10022</v>
      </c>
      <c r="I617" s="119">
        <f t="shared" ref="I617" si="294">I618+I621</f>
        <v>9960.2537699999993</v>
      </c>
      <c r="J617" s="119">
        <f t="shared" si="291"/>
        <v>99.383893135102767</v>
      </c>
    </row>
    <row r="618" spans="1:10" s="175" customFormat="1" x14ac:dyDescent="0.2">
      <c r="A618" s="120" t="s">
        <v>375</v>
      </c>
      <c r="B618" s="104" t="s">
        <v>476</v>
      </c>
      <c r="C618" s="104" t="s">
        <v>470</v>
      </c>
      <c r="D618" s="104" t="s">
        <v>285</v>
      </c>
      <c r="E618" s="104"/>
      <c r="F618" s="105">
        <f>F619</f>
        <v>9500</v>
      </c>
      <c r="G618" s="147">
        <f t="shared" si="270"/>
        <v>0</v>
      </c>
      <c r="H618" s="105">
        <f>H619</f>
        <v>9500</v>
      </c>
      <c r="I618" s="105">
        <f t="shared" ref="I618:I619" si="295">I619</f>
        <v>9438.2537699999993</v>
      </c>
      <c r="J618" s="105">
        <f t="shared" si="291"/>
        <v>99.350039684210529</v>
      </c>
    </row>
    <row r="619" spans="1:10" s="175" customFormat="1" ht="24" x14ac:dyDescent="0.2">
      <c r="A619" s="112" t="s">
        <v>79</v>
      </c>
      <c r="B619" s="113" t="s">
        <v>476</v>
      </c>
      <c r="C619" s="113" t="s">
        <v>470</v>
      </c>
      <c r="D619" s="113" t="s">
        <v>285</v>
      </c>
      <c r="E619" s="113" t="s">
        <v>80</v>
      </c>
      <c r="F619" s="114">
        <f>F620</f>
        <v>9500</v>
      </c>
      <c r="G619" s="147">
        <f t="shared" si="270"/>
        <v>0</v>
      </c>
      <c r="H619" s="114">
        <f>H620</f>
        <v>9500</v>
      </c>
      <c r="I619" s="114">
        <f t="shared" si="295"/>
        <v>9438.2537699999993</v>
      </c>
      <c r="J619" s="114">
        <f t="shared" si="291"/>
        <v>99.350039684210529</v>
      </c>
    </row>
    <row r="620" spans="1:10" s="175" customFormat="1" x14ac:dyDescent="0.2">
      <c r="A620" s="112" t="s">
        <v>81</v>
      </c>
      <c r="B620" s="113" t="s">
        <v>476</v>
      </c>
      <c r="C620" s="113" t="s">
        <v>470</v>
      </c>
      <c r="D620" s="113" t="s">
        <v>285</v>
      </c>
      <c r="E620" s="113" t="s">
        <v>82</v>
      </c>
      <c r="F620" s="114">
        <f>7300+2200</f>
        <v>9500</v>
      </c>
      <c r="G620" s="147">
        <f t="shared" si="270"/>
        <v>0</v>
      </c>
      <c r="H620" s="114">
        <f>7300+2200</f>
        <v>9500</v>
      </c>
      <c r="I620" s="114">
        <v>9438.2537699999993</v>
      </c>
      <c r="J620" s="114">
        <f t="shared" si="291"/>
        <v>99.350039684210529</v>
      </c>
    </row>
    <row r="621" spans="1:10" s="175" customFormat="1" x14ac:dyDescent="0.2">
      <c r="A621" s="103" t="s">
        <v>83</v>
      </c>
      <c r="B621" s="104" t="s">
        <v>476</v>
      </c>
      <c r="C621" s="104" t="s">
        <v>470</v>
      </c>
      <c r="D621" s="104" t="s">
        <v>286</v>
      </c>
      <c r="E621" s="104"/>
      <c r="F621" s="105" t="e">
        <f>F622+#REF!</f>
        <v>#REF!</v>
      </c>
      <c r="G621" s="147" t="e">
        <f t="shared" si="270"/>
        <v>#REF!</v>
      </c>
      <c r="H621" s="105">
        <f>H622</f>
        <v>522</v>
      </c>
      <c r="I621" s="105">
        <f t="shared" ref="I621:I622" si="296">I622</f>
        <v>522</v>
      </c>
      <c r="J621" s="105">
        <f t="shared" si="291"/>
        <v>100</v>
      </c>
    </row>
    <row r="622" spans="1:10" s="175" customFormat="1" x14ac:dyDescent="0.2">
      <c r="A622" s="112" t="s">
        <v>294</v>
      </c>
      <c r="B622" s="113" t="s">
        <v>476</v>
      </c>
      <c r="C622" s="113" t="s">
        <v>470</v>
      </c>
      <c r="D622" s="113" t="s">
        <v>286</v>
      </c>
      <c r="E622" s="113" t="s">
        <v>84</v>
      </c>
      <c r="F622" s="114">
        <f>F623</f>
        <v>507</v>
      </c>
      <c r="G622" s="147">
        <f t="shared" si="270"/>
        <v>15</v>
      </c>
      <c r="H622" s="114">
        <f>H623</f>
        <v>522</v>
      </c>
      <c r="I622" s="114">
        <f t="shared" si="296"/>
        <v>522</v>
      </c>
      <c r="J622" s="114">
        <f t="shared" si="291"/>
        <v>100</v>
      </c>
    </row>
    <row r="623" spans="1:10" s="175" customFormat="1" x14ac:dyDescent="0.2">
      <c r="A623" s="112" t="s">
        <v>85</v>
      </c>
      <c r="B623" s="113" t="s">
        <v>476</v>
      </c>
      <c r="C623" s="113" t="s">
        <v>470</v>
      </c>
      <c r="D623" s="113" t="s">
        <v>286</v>
      </c>
      <c r="E623" s="113" t="s">
        <v>86</v>
      </c>
      <c r="F623" s="114">
        <f>252+15+80+160</f>
        <v>507</v>
      </c>
      <c r="G623" s="147">
        <f t="shared" si="270"/>
        <v>15</v>
      </c>
      <c r="H623" s="114">
        <f>252+15+80+160+15</f>
        <v>522</v>
      </c>
      <c r="I623" s="114">
        <v>522</v>
      </c>
      <c r="J623" s="114">
        <f t="shared" si="291"/>
        <v>100</v>
      </c>
    </row>
    <row r="624" spans="1:10" s="175" customFormat="1" ht="27" x14ac:dyDescent="0.2">
      <c r="A624" s="116" t="s">
        <v>672</v>
      </c>
      <c r="B624" s="107" t="s">
        <v>476</v>
      </c>
      <c r="C624" s="107" t="s">
        <v>470</v>
      </c>
      <c r="D624" s="107" t="s">
        <v>266</v>
      </c>
      <c r="E624" s="107"/>
      <c r="F624" s="108" t="e">
        <f>F625+#REF!+#REF!+F628</f>
        <v>#REF!</v>
      </c>
      <c r="G624" s="147" t="e">
        <f t="shared" si="270"/>
        <v>#REF!</v>
      </c>
      <c r="H624" s="108">
        <f>H625+H628</f>
        <v>53700</v>
      </c>
      <c r="I624" s="108">
        <f t="shared" ref="I624" si="297">I625+I628</f>
        <v>53405.89905</v>
      </c>
      <c r="J624" s="119">
        <f t="shared" si="291"/>
        <v>99.452325977653629</v>
      </c>
    </row>
    <row r="625" spans="1:10" s="175" customFormat="1" x14ac:dyDescent="0.2">
      <c r="A625" s="134" t="s">
        <v>172</v>
      </c>
      <c r="B625" s="104" t="s">
        <v>476</v>
      </c>
      <c r="C625" s="104" t="s">
        <v>470</v>
      </c>
      <c r="D625" s="156" t="s">
        <v>625</v>
      </c>
      <c r="E625" s="104"/>
      <c r="F625" s="105">
        <f>F626</f>
        <v>40000</v>
      </c>
      <c r="G625" s="147">
        <f t="shared" si="270"/>
        <v>12869.127</v>
      </c>
      <c r="H625" s="105">
        <f>H626</f>
        <v>52869.127</v>
      </c>
      <c r="I625" s="105">
        <f t="shared" ref="I625:I626" si="298">I626</f>
        <v>52584.956050000001</v>
      </c>
      <c r="J625" s="105">
        <f t="shared" si="291"/>
        <v>99.462501149300238</v>
      </c>
    </row>
    <row r="626" spans="1:10" s="175" customFormat="1" x14ac:dyDescent="0.2">
      <c r="A626" s="112" t="s">
        <v>294</v>
      </c>
      <c r="B626" s="113" t="s">
        <v>476</v>
      </c>
      <c r="C626" s="113" t="s">
        <v>470</v>
      </c>
      <c r="D626" s="157" t="s">
        <v>625</v>
      </c>
      <c r="E626" s="113" t="s">
        <v>84</v>
      </c>
      <c r="F626" s="114">
        <f>F627</f>
        <v>40000</v>
      </c>
      <c r="G626" s="148">
        <f t="shared" ref="G626:G695" si="299">H626-F626</f>
        <v>12869.127</v>
      </c>
      <c r="H626" s="114">
        <f>H627</f>
        <v>52869.127</v>
      </c>
      <c r="I626" s="114">
        <f t="shared" si="298"/>
        <v>52584.956050000001</v>
      </c>
      <c r="J626" s="114">
        <f t="shared" si="291"/>
        <v>99.462501149300238</v>
      </c>
    </row>
    <row r="627" spans="1:10" s="175" customFormat="1" x14ac:dyDescent="0.2">
      <c r="A627" s="112" t="s">
        <v>85</v>
      </c>
      <c r="B627" s="113" t="s">
        <v>476</v>
      </c>
      <c r="C627" s="113" t="s">
        <v>470</v>
      </c>
      <c r="D627" s="157" t="s">
        <v>625</v>
      </c>
      <c r="E627" s="113" t="s">
        <v>86</v>
      </c>
      <c r="F627" s="114">
        <v>40000</v>
      </c>
      <c r="G627" s="148">
        <f t="shared" si="299"/>
        <v>12869.127</v>
      </c>
      <c r="H627" s="114">
        <f>40000-8000+20950-80.873</f>
        <v>52869.127</v>
      </c>
      <c r="I627" s="114">
        <v>52584.956050000001</v>
      </c>
      <c r="J627" s="114">
        <f t="shared" si="291"/>
        <v>99.462501149300238</v>
      </c>
    </row>
    <row r="628" spans="1:10" s="175" customFormat="1" x14ac:dyDescent="0.2">
      <c r="A628" s="134" t="s">
        <v>136</v>
      </c>
      <c r="B628" s="104" t="s">
        <v>476</v>
      </c>
      <c r="C628" s="104" t="s">
        <v>470</v>
      </c>
      <c r="D628" s="156" t="s">
        <v>619</v>
      </c>
      <c r="E628" s="104"/>
      <c r="F628" s="127">
        <f>F629</f>
        <v>3000</v>
      </c>
      <c r="G628" s="147">
        <f t="shared" si="299"/>
        <v>-2169.127</v>
      </c>
      <c r="H628" s="127">
        <f>H629</f>
        <v>830.87300000000005</v>
      </c>
      <c r="I628" s="127">
        <f t="shared" ref="I628:I629" si="300">I629</f>
        <v>820.94299999999998</v>
      </c>
      <c r="J628" s="105">
        <f t="shared" si="291"/>
        <v>98.804871502624337</v>
      </c>
    </row>
    <row r="629" spans="1:10" s="175" customFormat="1" x14ac:dyDescent="0.2">
      <c r="A629" s="112" t="s">
        <v>294</v>
      </c>
      <c r="B629" s="113" t="s">
        <v>476</v>
      </c>
      <c r="C629" s="113" t="s">
        <v>470</v>
      </c>
      <c r="D629" s="113" t="s">
        <v>619</v>
      </c>
      <c r="E629" s="113" t="s">
        <v>84</v>
      </c>
      <c r="F629" s="128">
        <f>F630</f>
        <v>3000</v>
      </c>
      <c r="G629" s="147">
        <f t="shared" si="299"/>
        <v>-2169.127</v>
      </c>
      <c r="H629" s="128">
        <f>H630</f>
        <v>830.87300000000005</v>
      </c>
      <c r="I629" s="128">
        <f t="shared" si="300"/>
        <v>820.94299999999998</v>
      </c>
      <c r="J629" s="114">
        <f t="shared" si="291"/>
        <v>98.804871502624337</v>
      </c>
    </row>
    <row r="630" spans="1:10" s="175" customFormat="1" x14ac:dyDescent="0.2">
      <c r="A630" s="112" t="s">
        <v>85</v>
      </c>
      <c r="B630" s="113" t="s">
        <v>476</v>
      </c>
      <c r="C630" s="113" t="s">
        <v>470</v>
      </c>
      <c r="D630" s="113" t="s">
        <v>619</v>
      </c>
      <c r="E630" s="113" t="s">
        <v>86</v>
      </c>
      <c r="F630" s="128">
        <v>3000</v>
      </c>
      <c r="G630" s="147">
        <f t="shared" si="299"/>
        <v>-2169.127</v>
      </c>
      <c r="H630" s="128">
        <f>3000-2169.127</f>
        <v>830.87300000000005</v>
      </c>
      <c r="I630" s="128">
        <v>820.94299999999998</v>
      </c>
      <c r="J630" s="114">
        <f t="shared" si="291"/>
        <v>98.804871502624337</v>
      </c>
    </row>
    <row r="631" spans="1:10" s="175" customFormat="1" x14ac:dyDescent="0.2">
      <c r="A631" s="117" t="s">
        <v>439</v>
      </c>
      <c r="B631" s="118" t="s">
        <v>476</v>
      </c>
      <c r="C631" s="118" t="s">
        <v>470</v>
      </c>
      <c r="D631" s="118" t="s">
        <v>209</v>
      </c>
      <c r="E631" s="104"/>
      <c r="F631" s="119">
        <f>F632</f>
        <v>195.3</v>
      </c>
      <c r="G631" s="147">
        <f t="shared" si="299"/>
        <v>113.88230999999996</v>
      </c>
      <c r="H631" s="119">
        <f t="shared" ref="H631:I633" si="301">H632</f>
        <v>309.18230999999997</v>
      </c>
      <c r="I631" s="119">
        <f t="shared" si="301"/>
        <v>309.18230999999997</v>
      </c>
      <c r="J631" s="119">
        <f t="shared" si="291"/>
        <v>100</v>
      </c>
    </row>
    <row r="632" spans="1:10" s="175" customFormat="1" x14ac:dyDescent="0.2">
      <c r="A632" s="103" t="s">
        <v>297</v>
      </c>
      <c r="B632" s="104" t="s">
        <v>476</v>
      </c>
      <c r="C632" s="104" t="s">
        <v>470</v>
      </c>
      <c r="D632" s="104" t="s">
        <v>210</v>
      </c>
      <c r="E632" s="104"/>
      <c r="F632" s="105">
        <f>F633</f>
        <v>195.3</v>
      </c>
      <c r="G632" s="147">
        <f t="shared" si="299"/>
        <v>113.88230999999996</v>
      </c>
      <c r="H632" s="105">
        <f t="shared" si="301"/>
        <v>309.18230999999997</v>
      </c>
      <c r="I632" s="105">
        <f t="shared" si="301"/>
        <v>309.18230999999997</v>
      </c>
      <c r="J632" s="105">
        <f t="shared" si="291"/>
        <v>100</v>
      </c>
    </row>
    <row r="633" spans="1:10" s="175" customFormat="1" ht="24" x14ac:dyDescent="0.2">
      <c r="A633" s="117" t="s">
        <v>768</v>
      </c>
      <c r="B633" s="104" t="s">
        <v>476</v>
      </c>
      <c r="C633" s="104" t="s">
        <v>470</v>
      </c>
      <c r="D633" s="118" t="s">
        <v>769</v>
      </c>
      <c r="E633" s="118"/>
      <c r="F633" s="119">
        <f t="shared" ref="F633:I634" si="302">F634</f>
        <v>195.3</v>
      </c>
      <c r="G633" s="119">
        <f t="shared" si="302"/>
        <v>195.3</v>
      </c>
      <c r="H633" s="119">
        <f t="shared" si="301"/>
        <v>309.18230999999997</v>
      </c>
      <c r="I633" s="119">
        <f t="shared" si="301"/>
        <v>309.18230999999997</v>
      </c>
      <c r="J633" s="119">
        <f t="shared" si="291"/>
        <v>100</v>
      </c>
    </row>
    <row r="634" spans="1:10" s="175" customFormat="1" ht="24" x14ac:dyDescent="0.2">
      <c r="A634" s="112" t="s">
        <v>79</v>
      </c>
      <c r="B634" s="113" t="s">
        <v>476</v>
      </c>
      <c r="C634" s="113" t="s">
        <v>470</v>
      </c>
      <c r="D634" s="113" t="s">
        <v>769</v>
      </c>
      <c r="E634" s="113" t="s">
        <v>80</v>
      </c>
      <c r="F634" s="114">
        <f t="shared" si="302"/>
        <v>195.3</v>
      </c>
      <c r="G634" s="114">
        <f t="shared" si="302"/>
        <v>195.3</v>
      </c>
      <c r="H634" s="114">
        <f t="shared" si="302"/>
        <v>309.18230999999997</v>
      </c>
      <c r="I634" s="114">
        <f t="shared" si="302"/>
        <v>309.18230999999997</v>
      </c>
      <c r="J634" s="114">
        <f t="shared" si="291"/>
        <v>100</v>
      </c>
    </row>
    <row r="635" spans="1:10" s="175" customFormat="1" x14ac:dyDescent="0.2">
      <c r="A635" s="112" t="s">
        <v>81</v>
      </c>
      <c r="B635" s="113" t="s">
        <v>476</v>
      </c>
      <c r="C635" s="113" t="s">
        <v>470</v>
      </c>
      <c r="D635" s="113" t="s">
        <v>769</v>
      </c>
      <c r="E635" s="113" t="s">
        <v>82</v>
      </c>
      <c r="F635" s="114">
        <v>195.3</v>
      </c>
      <c r="G635" s="114">
        <v>195.3</v>
      </c>
      <c r="H635" s="114">
        <v>309.18230999999997</v>
      </c>
      <c r="I635" s="114">
        <v>309.18230999999997</v>
      </c>
      <c r="J635" s="114">
        <f t="shared" si="291"/>
        <v>100</v>
      </c>
    </row>
    <row r="636" spans="1:10" s="175" customFormat="1" x14ac:dyDescent="0.2">
      <c r="A636" s="103" t="s">
        <v>379</v>
      </c>
      <c r="B636" s="104" t="s">
        <v>474</v>
      </c>
      <c r="C636" s="104" t="s">
        <v>77</v>
      </c>
      <c r="D636" s="104"/>
      <c r="E636" s="104"/>
      <c r="F636" s="105" t="e">
        <f>F637+F657</f>
        <v>#REF!</v>
      </c>
      <c r="G636" s="147" t="e">
        <f t="shared" si="299"/>
        <v>#REF!</v>
      </c>
      <c r="H636" s="105">
        <f>H637+H657</f>
        <v>136518.69769999999</v>
      </c>
      <c r="I636" s="147">
        <f t="shared" ref="I636" si="303">I637+I657</f>
        <v>133648.38784000001</v>
      </c>
      <c r="J636" s="105">
        <f t="shared" si="291"/>
        <v>97.897496893570221</v>
      </c>
    </row>
    <row r="637" spans="1:10" s="175" customFormat="1" x14ac:dyDescent="0.2">
      <c r="A637" s="103" t="s">
        <v>369</v>
      </c>
      <c r="B637" s="104" t="s">
        <v>474</v>
      </c>
      <c r="C637" s="104" t="s">
        <v>76</v>
      </c>
      <c r="D637" s="104"/>
      <c r="E637" s="104"/>
      <c r="F637" s="105">
        <f>F638</f>
        <v>90457.2</v>
      </c>
      <c r="G637" s="147">
        <f t="shared" si="299"/>
        <v>5313.4824700000026</v>
      </c>
      <c r="H637" s="105">
        <f>H638</f>
        <v>95770.68247</v>
      </c>
      <c r="I637" s="105">
        <f t="shared" ref="I637:I638" si="304">I638</f>
        <v>93373.47183000001</v>
      </c>
      <c r="J637" s="105">
        <f t="shared" si="291"/>
        <v>97.496926430746782</v>
      </c>
    </row>
    <row r="638" spans="1:10" s="175" customFormat="1" ht="27" x14ac:dyDescent="0.2">
      <c r="A638" s="116" t="s">
        <v>587</v>
      </c>
      <c r="B638" s="107" t="s">
        <v>474</v>
      </c>
      <c r="C638" s="107" t="s">
        <v>76</v>
      </c>
      <c r="D638" s="107" t="s">
        <v>251</v>
      </c>
      <c r="E638" s="107"/>
      <c r="F638" s="108">
        <f>F639</f>
        <v>90457.2</v>
      </c>
      <c r="G638" s="147">
        <f t="shared" si="299"/>
        <v>5313.4824700000026</v>
      </c>
      <c r="H638" s="108">
        <f>H639</f>
        <v>95770.68247</v>
      </c>
      <c r="I638" s="108">
        <f t="shared" si="304"/>
        <v>93373.47183000001</v>
      </c>
      <c r="J638" s="105">
        <f t="shared" si="291"/>
        <v>97.496926430746782</v>
      </c>
    </row>
    <row r="639" spans="1:10" s="175" customFormat="1" x14ac:dyDescent="0.2">
      <c r="A639" s="103" t="s">
        <v>351</v>
      </c>
      <c r="B639" s="104" t="s">
        <v>474</v>
      </c>
      <c r="C639" s="104" t="s">
        <v>76</v>
      </c>
      <c r="D639" s="104" t="s">
        <v>252</v>
      </c>
      <c r="E639" s="104"/>
      <c r="F639" s="105">
        <f>F640+F647</f>
        <v>90457.2</v>
      </c>
      <c r="G639" s="147">
        <f t="shared" si="299"/>
        <v>5313.4824700000026</v>
      </c>
      <c r="H639" s="105">
        <f>H640+H647+H651+H654</f>
        <v>95770.68247</v>
      </c>
      <c r="I639" s="105">
        <f t="shared" ref="I639" si="305">I640+I647+I651+I654</f>
        <v>93373.47183000001</v>
      </c>
      <c r="J639" s="105">
        <f t="shared" si="291"/>
        <v>97.496926430746782</v>
      </c>
    </row>
    <row r="640" spans="1:10" s="175" customFormat="1" ht="24" x14ac:dyDescent="0.2">
      <c r="A640" s="103" t="s">
        <v>287</v>
      </c>
      <c r="B640" s="104" t="s">
        <v>474</v>
      </c>
      <c r="C640" s="104" t="s">
        <v>76</v>
      </c>
      <c r="D640" s="104" t="s">
        <v>259</v>
      </c>
      <c r="E640" s="104"/>
      <c r="F640" s="105">
        <f>F641+F644</f>
        <v>50561</v>
      </c>
      <c r="G640" s="147">
        <f t="shared" si="299"/>
        <v>14553.589999999997</v>
      </c>
      <c r="H640" s="105">
        <f>H641+H644</f>
        <v>65114.59</v>
      </c>
      <c r="I640" s="105">
        <f t="shared" ref="I640" si="306">I641+I644</f>
        <v>64858.478539999996</v>
      </c>
      <c r="J640" s="105">
        <f t="shared" si="291"/>
        <v>99.606675769593267</v>
      </c>
    </row>
    <row r="641" spans="1:10" s="175" customFormat="1" x14ac:dyDescent="0.2">
      <c r="A641" s="136" t="s">
        <v>415</v>
      </c>
      <c r="B641" s="132" t="s">
        <v>474</v>
      </c>
      <c r="C641" s="132" t="s">
        <v>76</v>
      </c>
      <c r="D641" s="132" t="s">
        <v>595</v>
      </c>
      <c r="E641" s="132"/>
      <c r="F641" s="137">
        <f>F642</f>
        <v>12192</v>
      </c>
      <c r="G641" s="147">
        <f t="shared" si="299"/>
        <v>12919.59</v>
      </c>
      <c r="H641" s="137">
        <f>H642</f>
        <v>25111.59</v>
      </c>
      <c r="I641" s="137">
        <f t="shared" ref="I641:I642" si="307">I642</f>
        <v>24855.47854</v>
      </c>
      <c r="J641" s="137">
        <f t="shared" si="291"/>
        <v>98.980106556374963</v>
      </c>
    </row>
    <row r="642" spans="1:10" s="175" customFormat="1" x14ac:dyDescent="0.2">
      <c r="A642" s="112" t="s">
        <v>104</v>
      </c>
      <c r="B642" s="113" t="s">
        <v>474</v>
      </c>
      <c r="C642" s="113" t="s">
        <v>76</v>
      </c>
      <c r="D642" s="113" t="s">
        <v>595</v>
      </c>
      <c r="E642" s="113" t="s">
        <v>391</v>
      </c>
      <c r="F642" s="114">
        <f>F643</f>
        <v>12192</v>
      </c>
      <c r="G642" s="147">
        <f t="shared" si="299"/>
        <v>12919.59</v>
      </c>
      <c r="H642" s="114">
        <f>H643</f>
        <v>25111.59</v>
      </c>
      <c r="I642" s="114">
        <f t="shared" si="307"/>
        <v>24855.47854</v>
      </c>
      <c r="J642" s="114">
        <f t="shared" si="291"/>
        <v>98.980106556374963</v>
      </c>
    </row>
    <row r="643" spans="1:10" s="175" customFormat="1" x14ac:dyDescent="0.2">
      <c r="A643" s="112" t="s">
        <v>105</v>
      </c>
      <c r="B643" s="113" t="s">
        <v>474</v>
      </c>
      <c r="C643" s="113" t="s">
        <v>76</v>
      </c>
      <c r="D643" s="113" t="s">
        <v>595</v>
      </c>
      <c r="E643" s="113" t="s">
        <v>409</v>
      </c>
      <c r="F643" s="114">
        <f>1526.5+750+1122+8793.5</f>
        <v>12192</v>
      </c>
      <c r="G643" s="147">
        <f t="shared" si="299"/>
        <v>12919.59</v>
      </c>
      <c r="H643" s="114">
        <f>1526.5+750+1122+8793.5+2740.79+5500+1100+163-284.2+3700</f>
        <v>25111.59</v>
      </c>
      <c r="I643" s="114">
        <v>24855.47854</v>
      </c>
      <c r="J643" s="114">
        <f t="shared" si="291"/>
        <v>98.980106556374963</v>
      </c>
    </row>
    <row r="644" spans="1:10" s="175" customFormat="1" ht="24" x14ac:dyDescent="0.2">
      <c r="A644" s="117" t="s">
        <v>28</v>
      </c>
      <c r="B644" s="118" t="s">
        <v>474</v>
      </c>
      <c r="C644" s="118" t="s">
        <v>76</v>
      </c>
      <c r="D644" s="118" t="s">
        <v>260</v>
      </c>
      <c r="E644" s="118"/>
      <c r="F644" s="129">
        <f>F645</f>
        <v>38369</v>
      </c>
      <c r="G644" s="147">
        <f t="shared" si="299"/>
        <v>1634</v>
      </c>
      <c r="H644" s="129">
        <f>H645</f>
        <v>40003</v>
      </c>
      <c r="I644" s="129">
        <f t="shared" ref="I644:I645" si="308">I645</f>
        <v>40003</v>
      </c>
      <c r="J644" s="119">
        <f t="shared" si="291"/>
        <v>100</v>
      </c>
    </row>
    <row r="645" spans="1:10" s="175" customFormat="1" x14ac:dyDescent="0.2">
      <c r="A645" s="112" t="s">
        <v>104</v>
      </c>
      <c r="B645" s="113" t="s">
        <v>474</v>
      </c>
      <c r="C645" s="113" t="s">
        <v>76</v>
      </c>
      <c r="D645" s="113" t="s">
        <v>260</v>
      </c>
      <c r="E645" s="113" t="s">
        <v>391</v>
      </c>
      <c r="F645" s="128">
        <f>F646</f>
        <v>38369</v>
      </c>
      <c r="G645" s="147">
        <f t="shared" si="299"/>
        <v>1634</v>
      </c>
      <c r="H645" s="128">
        <f>H646</f>
        <v>40003</v>
      </c>
      <c r="I645" s="128">
        <f t="shared" si="308"/>
        <v>40003</v>
      </c>
      <c r="J645" s="114">
        <f t="shared" si="291"/>
        <v>100</v>
      </c>
    </row>
    <row r="646" spans="1:10" s="175" customFormat="1" x14ac:dyDescent="0.2">
      <c r="A646" s="112" t="s">
        <v>105</v>
      </c>
      <c r="B646" s="113" t="s">
        <v>474</v>
      </c>
      <c r="C646" s="113" t="s">
        <v>76</v>
      </c>
      <c r="D646" s="113" t="s">
        <v>260</v>
      </c>
      <c r="E646" s="113" t="s">
        <v>409</v>
      </c>
      <c r="F646" s="128">
        <v>38369</v>
      </c>
      <c r="G646" s="147">
        <f t="shared" si="299"/>
        <v>1634</v>
      </c>
      <c r="H646" s="128">
        <f>38369+1634</f>
        <v>40003</v>
      </c>
      <c r="I646" s="128">
        <v>40003</v>
      </c>
      <c r="J646" s="114">
        <f t="shared" si="291"/>
        <v>100</v>
      </c>
    </row>
    <row r="647" spans="1:10" s="175" customFormat="1" x14ac:dyDescent="0.2">
      <c r="A647" s="103" t="s">
        <v>596</v>
      </c>
      <c r="B647" s="104" t="s">
        <v>474</v>
      </c>
      <c r="C647" s="104" t="s">
        <v>76</v>
      </c>
      <c r="D647" s="104" t="s">
        <v>261</v>
      </c>
      <c r="E647" s="104"/>
      <c r="F647" s="105">
        <f>F648</f>
        <v>39896.199999999997</v>
      </c>
      <c r="G647" s="147">
        <f t="shared" si="299"/>
        <v>-9311</v>
      </c>
      <c r="H647" s="105">
        <f>H648</f>
        <v>30585.199999999997</v>
      </c>
      <c r="I647" s="105">
        <f t="shared" ref="I647:I649" si="309">I648</f>
        <v>28444.10082</v>
      </c>
      <c r="J647" s="105">
        <f t="shared" si="291"/>
        <v>92.999558021526767</v>
      </c>
    </row>
    <row r="648" spans="1:10" s="175" customFormat="1" x14ac:dyDescent="0.2">
      <c r="A648" s="136" t="s">
        <v>497</v>
      </c>
      <c r="B648" s="132" t="s">
        <v>474</v>
      </c>
      <c r="C648" s="132" t="s">
        <v>76</v>
      </c>
      <c r="D648" s="132" t="s">
        <v>597</v>
      </c>
      <c r="E648" s="118"/>
      <c r="F648" s="137">
        <f>F649</f>
        <v>39896.199999999997</v>
      </c>
      <c r="G648" s="147">
        <f t="shared" si="299"/>
        <v>-9311</v>
      </c>
      <c r="H648" s="137">
        <f>H649</f>
        <v>30585.199999999997</v>
      </c>
      <c r="I648" s="137">
        <f t="shared" si="309"/>
        <v>28444.10082</v>
      </c>
      <c r="J648" s="137">
        <f t="shared" si="291"/>
        <v>92.999558021526767</v>
      </c>
    </row>
    <row r="649" spans="1:10" s="175" customFormat="1" x14ac:dyDescent="0.2">
      <c r="A649" s="112" t="s">
        <v>104</v>
      </c>
      <c r="B649" s="113" t="s">
        <v>474</v>
      </c>
      <c r="C649" s="113" t="s">
        <v>76</v>
      </c>
      <c r="D649" s="113" t="s">
        <v>597</v>
      </c>
      <c r="E649" s="113" t="s">
        <v>391</v>
      </c>
      <c r="F649" s="114">
        <f>F650</f>
        <v>39896.199999999997</v>
      </c>
      <c r="G649" s="147">
        <f t="shared" si="299"/>
        <v>-9311</v>
      </c>
      <c r="H649" s="114">
        <f>H650</f>
        <v>30585.199999999997</v>
      </c>
      <c r="I649" s="114">
        <f t="shared" si="309"/>
        <v>28444.10082</v>
      </c>
      <c r="J649" s="114">
        <f t="shared" si="291"/>
        <v>92.999558021526767</v>
      </c>
    </row>
    <row r="650" spans="1:10" s="175" customFormat="1" x14ac:dyDescent="0.2">
      <c r="A650" s="112" t="s">
        <v>105</v>
      </c>
      <c r="B650" s="113" t="s">
        <v>474</v>
      </c>
      <c r="C650" s="113" t="s">
        <v>76</v>
      </c>
      <c r="D650" s="113" t="s">
        <v>597</v>
      </c>
      <c r="E650" s="113" t="s">
        <v>409</v>
      </c>
      <c r="F650" s="114">
        <v>39896.199999999997</v>
      </c>
      <c r="G650" s="147">
        <f t="shared" si="299"/>
        <v>-9311</v>
      </c>
      <c r="H650" s="114">
        <f>39896.2-1-1100-8210</f>
        <v>30585.199999999997</v>
      </c>
      <c r="I650" s="114">
        <v>28444.10082</v>
      </c>
      <c r="J650" s="114">
        <f t="shared" si="291"/>
        <v>92.999558021526767</v>
      </c>
    </row>
    <row r="651" spans="1:10" s="175" customFormat="1" x14ac:dyDescent="0.2">
      <c r="A651" s="103" t="s">
        <v>708</v>
      </c>
      <c r="B651" s="104" t="s">
        <v>474</v>
      </c>
      <c r="C651" s="104" t="s">
        <v>76</v>
      </c>
      <c r="D651" s="104" t="s">
        <v>710</v>
      </c>
      <c r="E651" s="104"/>
      <c r="F651" s="114"/>
      <c r="G651" s="147"/>
      <c r="H651" s="105">
        <f>H652</f>
        <v>69.892470000000003</v>
      </c>
      <c r="I651" s="105">
        <f t="shared" ref="I651:I652" si="310">I652</f>
        <v>69.892470000000003</v>
      </c>
      <c r="J651" s="105">
        <f t="shared" si="291"/>
        <v>100</v>
      </c>
    </row>
    <row r="652" spans="1:10" s="175" customFormat="1" x14ac:dyDescent="0.2">
      <c r="A652" s="112" t="s">
        <v>104</v>
      </c>
      <c r="B652" s="113" t="s">
        <v>474</v>
      </c>
      <c r="C652" s="113" t="s">
        <v>76</v>
      </c>
      <c r="D652" s="113" t="s">
        <v>710</v>
      </c>
      <c r="E652" s="113" t="s">
        <v>391</v>
      </c>
      <c r="F652" s="114"/>
      <c r="G652" s="147"/>
      <c r="H652" s="114">
        <f>H653</f>
        <v>69.892470000000003</v>
      </c>
      <c r="I652" s="114">
        <f t="shared" si="310"/>
        <v>69.892470000000003</v>
      </c>
      <c r="J652" s="114">
        <f t="shared" si="291"/>
        <v>100</v>
      </c>
    </row>
    <row r="653" spans="1:10" s="175" customFormat="1" x14ac:dyDescent="0.2">
      <c r="A653" s="112" t="s">
        <v>105</v>
      </c>
      <c r="B653" s="113" t="s">
        <v>474</v>
      </c>
      <c r="C653" s="113" t="s">
        <v>76</v>
      </c>
      <c r="D653" s="113" t="s">
        <v>710</v>
      </c>
      <c r="E653" s="113" t="s">
        <v>409</v>
      </c>
      <c r="F653" s="114"/>
      <c r="G653" s="147"/>
      <c r="H653" s="114">
        <v>69.892470000000003</v>
      </c>
      <c r="I653" s="114">
        <v>69.892470000000003</v>
      </c>
      <c r="J653" s="114">
        <f t="shared" si="291"/>
        <v>100</v>
      </c>
    </row>
    <row r="654" spans="1:10" s="175" customFormat="1" x14ac:dyDescent="0.2">
      <c r="A654" s="103" t="s">
        <v>711</v>
      </c>
      <c r="B654" s="104" t="s">
        <v>474</v>
      </c>
      <c r="C654" s="104" t="s">
        <v>76</v>
      </c>
      <c r="D654" s="104" t="s">
        <v>712</v>
      </c>
      <c r="E654" s="104"/>
      <c r="F654" s="114"/>
      <c r="G654" s="147"/>
      <c r="H654" s="105">
        <f>H655</f>
        <v>1</v>
      </c>
      <c r="I654" s="105">
        <f t="shared" ref="I654:I655" si="311">I655</f>
        <v>1</v>
      </c>
      <c r="J654" s="105">
        <f t="shared" si="291"/>
        <v>100</v>
      </c>
    </row>
    <row r="655" spans="1:10" s="175" customFormat="1" x14ac:dyDescent="0.2">
      <c r="A655" s="112" t="s">
        <v>104</v>
      </c>
      <c r="B655" s="113" t="s">
        <v>474</v>
      </c>
      <c r="C655" s="113" t="s">
        <v>76</v>
      </c>
      <c r="D655" s="113" t="s">
        <v>712</v>
      </c>
      <c r="E655" s="113" t="s">
        <v>391</v>
      </c>
      <c r="F655" s="114"/>
      <c r="G655" s="147"/>
      <c r="H655" s="114">
        <f>H656</f>
        <v>1</v>
      </c>
      <c r="I655" s="114">
        <f t="shared" si="311"/>
        <v>1</v>
      </c>
      <c r="J655" s="114">
        <f t="shared" si="291"/>
        <v>100</v>
      </c>
    </row>
    <row r="656" spans="1:10" s="175" customFormat="1" x14ac:dyDescent="0.2">
      <c r="A656" s="112" t="s">
        <v>105</v>
      </c>
      <c r="B656" s="113" t="s">
        <v>474</v>
      </c>
      <c r="C656" s="113" t="s">
        <v>76</v>
      </c>
      <c r="D656" s="113" t="s">
        <v>712</v>
      </c>
      <c r="E656" s="113" t="s">
        <v>409</v>
      </c>
      <c r="F656" s="114"/>
      <c r="G656" s="147"/>
      <c r="H656" s="114">
        <v>1</v>
      </c>
      <c r="I656" s="114">
        <v>1</v>
      </c>
      <c r="J656" s="114">
        <f t="shared" si="291"/>
        <v>100</v>
      </c>
    </row>
    <row r="657" spans="1:10" s="175" customFormat="1" x14ac:dyDescent="0.2">
      <c r="A657" s="103" t="s">
        <v>453</v>
      </c>
      <c r="B657" s="104" t="s">
        <v>474</v>
      </c>
      <c r="C657" s="104" t="s">
        <v>78</v>
      </c>
      <c r="D657" s="104"/>
      <c r="E657" s="104"/>
      <c r="F657" s="105" t="e">
        <f>F665+F690</f>
        <v>#REF!</v>
      </c>
      <c r="G657" s="147" t="e">
        <f t="shared" si="299"/>
        <v>#REF!</v>
      </c>
      <c r="H657" s="105">
        <f>H665+H690+H658+H697</f>
        <v>40748.015229999997</v>
      </c>
      <c r="I657" s="105">
        <f>I665+I690+I658+I697</f>
        <v>40274.916009999994</v>
      </c>
      <c r="J657" s="105">
        <f t="shared" si="291"/>
        <v>98.83896376957351</v>
      </c>
    </row>
    <row r="658" spans="1:10" s="175" customFormat="1" ht="12.75" customHeight="1" x14ac:dyDescent="0.2">
      <c r="A658" s="116" t="s">
        <v>602</v>
      </c>
      <c r="B658" s="107" t="s">
        <v>474</v>
      </c>
      <c r="C658" s="107" t="s">
        <v>78</v>
      </c>
      <c r="D658" s="142" t="s">
        <v>249</v>
      </c>
      <c r="E658" s="107"/>
      <c r="F658" s="105"/>
      <c r="G658" s="147"/>
      <c r="H658" s="108">
        <f>H659+H662</f>
        <v>351.57499999999999</v>
      </c>
      <c r="I658" s="108">
        <f t="shared" ref="I658" si="312">I659+I662</f>
        <v>351.57499999999999</v>
      </c>
      <c r="J658" s="119">
        <f t="shared" si="291"/>
        <v>100</v>
      </c>
    </row>
    <row r="659" spans="1:10" s="175" customFormat="1" x14ac:dyDescent="0.2">
      <c r="A659" s="103" t="s">
        <v>695</v>
      </c>
      <c r="B659" s="104" t="s">
        <v>474</v>
      </c>
      <c r="C659" s="104" t="s">
        <v>78</v>
      </c>
      <c r="D659" s="104" t="s">
        <v>696</v>
      </c>
      <c r="E659" s="104"/>
      <c r="F659" s="105"/>
      <c r="G659" s="147"/>
      <c r="H659" s="105">
        <f>H660</f>
        <v>351.07499999999999</v>
      </c>
      <c r="I659" s="105">
        <f t="shared" ref="I659:I660" si="313">I660</f>
        <v>351.07499999999999</v>
      </c>
      <c r="J659" s="105">
        <f t="shared" si="291"/>
        <v>100</v>
      </c>
    </row>
    <row r="660" spans="1:10" s="175" customFormat="1" x14ac:dyDescent="0.2">
      <c r="A660" s="112" t="s">
        <v>294</v>
      </c>
      <c r="B660" s="113" t="s">
        <v>474</v>
      </c>
      <c r="C660" s="113" t="s">
        <v>78</v>
      </c>
      <c r="D660" s="113" t="s">
        <v>696</v>
      </c>
      <c r="E660" s="113" t="s">
        <v>84</v>
      </c>
      <c r="F660" s="105"/>
      <c r="G660" s="147"/>
      <c r="H660" s="114">
        <f>H661</f>
        <v>351.07499999999999</v>
      </c>
      <c r="I660" s="114">
        <f t="shared" si="313"/>
        <v>351.07499999999999</v>
      </c>
      <c r="J660" s="114">
        <f t="shared" si="291"/>
        <v>100</v>
      </c>
    </row>
    <row r="661" spans="1:10" s="175" customFormat="1" x14ac:dyDescent="0.2">
      <c r="A661" s="112" t="s">
        <v>85</v>
      </c>
      <c r="B661" s="113" t="s">
        <v>474</v>
      </c>
      <c r="C661" s="113" t="s">
        <v>78</v>
      </c>
      <c r="D661" s="113" t="s">
        <v>696</v>
      </c>
      <c r="E661" s="113" t="s">
        <v>86</v>
      </c>
      <c r="F661" s="105"/>
      <c r="G661" s="147"/>
      <c r="H661" s="114">
        <v>351.07499999999999</v>
      </c>
      <c r="I661" s="114">
        <v>351.07499999999999</v>
      </c>
      <c r="J661" s="114">
        <f t="shared" si="291"/>
        <v>100</v>
      </c>
    </row>
    <row r="662" spans="1:10" s="175" customFormat="1" x14ac:dyDescent="0.2">
      <c r="A662" s="103" t="s">
        <v>697</v>
      </c>
      <c r="B662" s="104" t="s">
        <v>474</v>
      </c>
      <c r="C662" s="104" t="s">
        <v>78</v>
      </c>
      <c r="D662" s="104" t="s">
        <v>698</v>
      </c>
      <c r="E662" s="104"/>
      <c r="F662" s="105"/>
      <c r="G662" s="147"/>
      <c r="H662" s="105">
        <f>H663</f>
        <v>0.5</v>
      </c>
      <c r="I662" s="105">
        <f t="shared" ref="I662:I663" si="314">I663</f>
        <v>0.5</v>
      </c>
      <c r="J662" s="105">
        <f t="shared" si="291"/>
        <v>100</v>
      </c>
    </row>
    <row r="663" spans="1:10" s="175" customFormat="1" x14ac:dyDescent="0.2">
      <c r="A663" s="112" t="s">
        <v>294</v>
      </c>
      <c r="B663" s="113" t="s">
        <v>474</v>
      </c>
      <c r="C663" s="113" t="s">
        <v>78</v>
      </c>
      <c r="D663" s="113" t="s">
        <v>698</v>
      </c>
      <c r="E663" s="113" t="s">
        <v>84</v>
      </c>
      <c r="F663" s="105"/>
      <c r="G663" s="147"/>
      <c r="H663" s="114">
        <f>H664</f>
        <v>0.5</v>
      </c>
      <c r="I663" s="114">
        <f t="shared" si="314"/>
        <v>0.5</v>
      </c>
      <c r="J663" s="114">
        <f t="shared" si="291"/>
        <v>100</v>
      </c>
    </row>
    <row r="664" spans="1:10" s="175" customFormat="1" x14ac:dyDescent="0.2">
      <c r="A664" s="112" t="s">
        <v>85</v>
      </c>
      <c r="B664" s="113" t="s">
        <v>474</v>
      </c>
      <c r="C664" s="113" t="s">
        <v>78</v>
      </c>
      <c r="D664" s="113" t="s">
        <v>698</v>
      </c>
      <c r="E664" s="113" t="s">
        <v>86</v>
      </c>
      <c r="F664" s="105"/>
      <c r="G664" s="147"/>
      <c r="H664" s="114">
        <v>0.5</v>
      </c>
      <c r="I664" s="114">
        <v>0.5</v>
      </c>
      <c r="J664" s="114">
        <f t="shared" si="291"/>
        <v>100</v>
      </c>
    </row>
    <row r="665" spans="1:10" s="175" customFormat="1" ht="27" x14ac:dyDescent="0.2">
      <c r="A665" s="116" t="s">
        <v>587</v>
      </c>
      <c r="B665" s="107" t="s">
        <v>474</v>
      </c>
      <c r="C665" s="107" t="s">
        <v>78</v>
      </c>
      <c r="D665" s="107" t="s">
        <v>251</v>
      </c>
      <c r="E665" s="107"/>
      <c r="F665" s="108" t="e">
        <f>F666+F679</f>
        <v>#REF!</v>
      </c>
      <c r="G665" s="147" t="e">
        <f t="shared" si="299"/>
        <v>#REF!</v>
      </c>
      <c r="H665" s="108">
        <f>H666+H679</f>
        <v>21992.010000000002</v>
      </c>
      <c r="I665" s="108">
        <f t="shared" ref="I665" si="315">I666+I679</f>
        <v>21568.694779999998</v>
      </c>
      <c r="J665" s="108">
        <f t="shared" si="291"/>
        <v>98.075140835239694</v>
      </c>
    </row>
    <row r="666" spans="1:10" s="175" customFormat="1" ht="13.5" x14ac:dyDescent="0.2">
      <c r="A666" s="116" t="s">
        <v>75</v>
      </c>
      <c r="B666" s="107" t="s">
        <v>474</v>
      </c>
      <c r="C666" s="107" t="s">
        <v>78</v>
      </c>
      <c r="D666" s="107" t="s">
        <v>265</v>
      </c>
      <c r="E666" s="107"/>
      <c r="F666" s="108" t="e">
        <f>F667+F670+#REF!+#REF!+F673+F676</f>
        <v>#REF!</v>
      </c>
      <c r="G666" s="147" t="e">
        <f t="shared" si="299"/>
        <v>#REF!</v>
      </c>
      <c r="H666" s="108">
        <f>H667+H670+H673+H676</f>
        <v>17967.010000000002</v>
      </c>
      <c r="I666" s="108">
        <f t="shared" ref="I666" si="316">I667+I670+I673+I676</f>
        <v>17692.121419999999</v>
      </c>
      <c r="J666" s="119">
        <f t="shared" si="291"/>
        <v>98.470037140292106</v>
      </c>
    </row>
    <row r="667" spans="1:10" s="175" customFormat="1" x14ac:dyDescent="0.2">
      <c r="A667" s="134" t="s">
        <v>109</v>
      </c>
      <c r="B667" s="104" t="s">
        <v>474</v>
      </c>
      <c r="C667" s="104" t="s">
        <v>78</v>
      </c>
      <c r="D667" s="104" t="s">
        <v>588</v>
      </c>
      <c r="E667" s="118"/>
      <c r="F667" s="105">
        <f>F668</f>
        <v>20100</v>
      </c>
      <c r="G667" s="147">
        <f t="shared" si="299"/>
        <v>-2623.989999999998</v>
      </c>
      <c r="H667" s="105">
        <f>H668</f>
        <v>17476.010000000002</v>
      </c>
      <c r="I667" s="105">
        <f t="shared" ref="I667:I668" si="317">I668</f>
        <v>17201.121419999999</v>
      </c>
      <c r="J667" s="105">
        <f t="shared" si="291"/>
        <v>98.427051827047464</v>
      </c>
    </row>
    <row r="668" spans="1:10" s="175" customFormat="1" x14ac:dyDescent="0.2">
      <c r="A668" s="112" t="s">
        <v>582</v>
      </c>
      <c r="B668" s="113" t="s">
        <v>474</v>
      </c>
      <c r="C668" s="113" t="s">
        <v>78</v>
      </c>
      <c r="D668" s="113" t="s">
        <v>588</v>
      </c>
      <c r="E668" s="113" t="s">
        <v>84</v>
      </c>
      <c r="F668" s="114">
        <f>F669</f>
        <v>20100</v>
      </c>
      <c r="G668" s="147">
        <f t="shared" si="299"/>
        <v>-2623.989999999998</v>
      </c>
      <c r="H668" s="114">
        <f>H669</f>
        <v>17476.010000000002</v>
      </c>
      <c r="I668" s="114">
        <f t="shared" si="317"/>
        <v>17201.121419999999</v>
      </c>
      <c r="J668" s="114">
        <f t="shared" si="291"/>
        <v>98.427051827047464</v>
      </c>
    </row>
    <row r="669" spans="1:10" s="175" customFormat="1" x14ac:dyDescent="0.2">
      <c r="A669" s="112" t="s">
        <v>85</v>
      </c>
      <c r="B669" s="113" t="s">
        <v>474</v>
      </c>
      <c r="C669" s="113" t="s">
        <v>78</v>
      </c>
      <c r="D669" s="113" t="s">
        <v>588</v>
      </c>
      <c r="E669" s="113" t="s">
        <v>86</v>
      </c>
      <c r="F669" s="114">
        <v>20100</v>
      </c>
      <c r="G669" s="147">
        <f t="shared" si="299"/>
        <v>-2623.989999999998</v>
      </c>
      <c r="H669" s="114">
        <f>20100-2395.99-228</f>
        <v>17476.010000000002</v>
      </c>
      <c r="I669" s="114">
        <v>17201.121419999999</v>
      </c>
      <c r="J669" s="114">
        <f t="shared" si="291"/>
        <v>98.427051827047464</v>
      </c>
    </row>
    <row r="670" spans="1:10" s="175" customFormat="1" x14ac:dyDescent="0.2">
      <c r="A670" s="134" t="s">
        <v>347</v>
      </c>
      <c r="B670" s="104" t="s">
        <v>474</v>
      </c>
      <c r="C670" s="104" t="s">
        <v>78</v>
      </c>
      <c r="D670" s="104" t="s">
        <v>598</v>
      </c>
      <c r="E670" s="118"/>
      <c r="F670" s="105">
        <f>F671</f>
        <v>200</v>
      </c>
      <c r="G670" s="147">
        <f t="shared" si="299"/>
        <v>-170</v>
      </c>
      <c r="H670" s="105">
        <f>H671</f>
        <v>30</v>
      </c>
      <c r="I670" s="105">
        <f t="shared" ref="I670:I671" si="318">I671</f>
        <v>30</v>
      </c>
      <c r="J670" s="105">
        <f t="shared" si="291"/>
        <v>100</v>
      </c>
    </row>
    <row r="671" spans="1:10" s="175" customFormat="1" x14ac:dyDescent="0.2">
      <c r="A671" s="112" t="s">
        <v>294</v>
      </c>
      <c r="B671" s="113" t="s">
        <v>474</v>
      </c>
      <c r="C671" s="113" t="s">
        <v>78</v>
      </c>
      <c r="D671" s="113" t="s">
        <v>598</v>
      </c>
      <c r="E671" s="113" t="s">
        <v>84</v>
      </c>
      <c r="F671" s="114">
        <f>F672</f>
        <v>200</v>
      </c>
      <c r="G671" s="147">
        <f t="shared" si="299"/>
        <v>-170</v>
      </c>
      <c r="H671" s="114">
        <f>H672</f>
        <v>30</v>
      </c>
      <c r="I671" s="114">
        <f t="shared" si="318"/>
        <v>30</v>
      </c>
      <c r="J671" s="114">
        <f t="shared" si="291"/>
        <v>100</v>
      </c>
    </row>
    <row r="672" spans="1:10" s="175" customFormat="1" x14ac:dyDescent="0.2">
      <c r="A672" s="112" t="s">
        <v>85</v>
      </c>
      <c r="B672" s="113" t="s">
        <v>474</v>
      </c>
      <c r="C672" s="113" t="s">
        <v>78</v>
      </c>
      <c r="D672" s="113" t="s">
        <v>598</v>
      </c>
      <c r="E672" s="113" t="s">
        <v>86</v>
      </c>
      <c r="F672" s="114">
        <v>200</v>
      </c>
      <c r="G672" s="147">
        <f t="shared" si="299"/>
        <v>-170</v>
      </c>
      <c r="H672" s="114">
        <f>200-170</f>
        <v>30</v>
      </c>
      <c r="I672" s="114">
        <v>30</v>
      </c>
      <c r="J672" s="114">
        <f t="shared" si="291"/>
        <v>100</v>
      </c>
    </row>
    <row r="673" spans="1:10" s="175" customFormat="1" ht="24" x14ac:dyDescent="0.2">
      <c r="A673" s="103" t="s">
        <v>437</v>
      </c>
      <c r="B673" s="104" t="s">
        <v>474</v>
      </c>
      <c r="C673" s="104" t="s">
        <v>78</v>
      </c>
      <c r="D673" s="104" t="s">
        <v>599</v>
      </c>
      <c r="E673" s="104"/>
      <c r="F673" s="105">
        <f>F674</f>
        <v>100</v>
      </c>
      <c r="G673" s="147">
        <f t="shared" si="299"/>
        <v>61</v>
      </c>
      <c r="H673" s="105">
        <f>H674</f>
        <v>161</v>
      </c>
      <c r="I673" s="105">
        <f t="shared" ref="I673:I674" si="319">I674</f>
        <v>161</v>
      </c>
      <c r="J673" s="105">
        <f t="shared" si="291"/>
        <v>100</v>
      </c>
    </row>
    <row r="674" spans="1:10" s="175" customFormat="1" x14ac:dyDescent="0.2">
      <c r="A674" s="112" t="s">
        <v>294</v>
      </c>
      <c r="B674" s="113" t="s">
        <v>474</v>
      </c>
      <c r="C674" s="113" t="s">
        <v>78</v>
      </c>
      <c r="D674" s="113" t="s">
        <v>599</v>
      </c>
      <c r="E674" s="113" t="s">
        <v>84</v>
      </c>
      <c r="F674" s="114">
        <f>F675</f>
        <v>100</v>
      </c>
      <c r="G674" s="147">
        <f t="shared" si="299"/>
        <v>61</v>
      </c>
      <c r="H674" s="114">
        <f>H675</f>
        <v>161</v>
      </c>
      <c r="I674" s="114">
        <f t="shared" si="319"/>
        <v>161</v>
      </c>
      <c r="J674" s="114">
        <f t="shared" si="291"/>
        <v>100</v>
      </c>
    </row>
    <row r="675" spans="1:10" s="175" customFormat="1" x14ac:dyDescent="0.2">
      <c r="A675" s="112" t="s">
        <v>85</v>
      </c>
      <c r="B675" s="113" t="s">
        <v>474</v>
      </c>
      <c r="C675" s="113" t="s">
        <v>78</v>
      </c>
      <c r="D675" s="113" t="s">
        <v>599</v>
      </c>
      <c r="E675" s="113" t="s">
        <v>86</v>
      </c>
      <c r="F675" s="114">
        <v>100</v>
      </c>
      <c r="G675" s="147">
        <f t="shared" si="299"/>
        <v>61</v>
      </c>
      <c r="H675" s="114">
        <f>100-4+65</f>
        <v>161</v>
      </c>
      <c r="I675" s="114">
        <v>161</v>
      </c>
      <c r="J675" s="114">
        <f t="shared" si="291"/>
        <v>100</v>
      </c>
    </row>
    <row r="676" spans="1:10" s="175" customFormat="1" x14ac:dyDescent="0.2">
      <c r="A676" s="103" t="s">
        <v>333</v>
      </c>
      <c r="B676" s="104" t="s">
        <v>474</v>
      </c>
      <c r="C676" s="104" t="s">
        <v>78</v>
      </c>
      <c r="D676" s="104" t="s">
        <v>600</v>
      </c>
      <c r="E676" s="104"/>
      <c r="F676" s="105">
        <f>F677</f>
        <v>300</v>
      </c>
      <c r="G676" s="147">
        <f t="shared" si="299"/>
        <v>0</v>
      </c>
      <c r="H676" s="105">
        <f>H677</f>
        <v>300</v>
      </c>
      <c r="I676" s="105">
        <f t="shared" ref="I676:I677" si="320">I677</f>
        <v>300</v>
      </c>
      <c r="J676" s="105">
        <f t="shared" si="291"/>
        <v>100</v>
      </c>
    </row>
    <row r="677" spans="1:10" s="175" customFormat="1" x14ac:dyDescent="0.2">
      <c r="A677" s="112" t="s">
        <v>294</v>
      </c>
      <c r="B677" s="113" t="s">
        <v>474</v>
      </c>
      <c r="C677" s="113" t="s">
        <v>78</v>
      </c>
      <c r="D677" s="113" t="s">
        <v>600</v>
      </c>
      <c r="E677" s="113" t="s">
        <v>84</v>
      </c>
      <c r="F677" s="114">
        <f>F678</f>
        <v>300</v>
      </c>
      <c r="G677" s="147">
        <f t="shared" si="299"/>
        <v>0</v>
      </c>
      <c r="H677" s="114">
        <f>H678</f>
        <v>300</v>
      </c>
      <c r="I677" s="114">
        <f t="shared" si="320"/>
        <v>300</v>
      </c>
      <c r="J677" s="114">
        <f t="shared" si="291"/>
        <v>100</v>
      </c>
    </row>
    <row r="678" spans="1:10" s="175" customFormat="1" x14ac:dyDescent="0.2">
      <c r="A678" s="112" t="s">
        <v>85</v>
      </c>
      <c r="B678" s="113" t="s">
        <v>474</v>
      </c>
      <c r="C678" s="113" t="s">
        <v>78</v>
      </c>
      <c r="D678" s="113" t="s">
        <v>600</v>
      </c>
      <c r="E678" s="113" t="s">
        <v>86</v>
      </c>
      <c r="F678" s="114">
        <v>300</v>
      </c>
      <c r="G678" s="147">
        <f t="shared" si="299"/>
        <v>0</v>
      </c>
      <c r="H678" s="114">
        <v>300</v>
      </c>
      <c r="I678" s="114">
        <v>300</v>
      </c>
      <c r="J678" s="114">
        <f t="shared" si="291"/>
        <v>100</v>
      </c>
    </row>
    <row r="679" spans="1:10" s="175" customFormat="1" ht="13.5" x14ac:dyDescent="0.2">
      <c r="A679" s="116" t="s">
        <v>262</v>
      </c>
      <c r="B679" s="107" t="s">
        <v>474</v>
      </c>
      <c r="C679" s="107" t="s">
        <v>78</v>
      </c>
      <c r="D679" s="107" t="s">
        <v>264</v>
      </c>
      <c r="E679" s="107"/>
      <c r="F679" s="108">
        <f>F680</f>
        <v>4025</v>
      </c>
      <c r="G679" s="147">
        <f t="shared" si="299"/>
        <v>0</v>
      </c>
      <c r="H679" s="108">
        <f>H680</f>
        <v>4025</v>
      </c>
      <c r="I679" s="108">
        <f t="shared" ref="I679:I680" si="321">I680</f>
        <v>3876.5733600000003</v>
      </c>
      <c r="J679" s="119">
        <f t="shared" si="291"/>
        <v>96.31238161490684</v>
      </c>
    </row>
    <row r="680" spans="1:10" s="175" customFormat="1" x14ac:dyDescent="0.2">
      <c r="A680" s="103" t="s">
        <v>263</v>
      </c>
      <c r="B680" s="104" t="s">
        <v>474</v>
      </c>
      <c r="C680" s="104" t="s">
        <v>78</v>
      </c>
      <c r="D680" s="104" t="s">
        <v>264</v>
      </c>
      <c r="E680" s="104"/>
      <c r="F680" s="105">
        <f>F681</f>
        <v>4025</v>
      </c>
      <c r="G680" s="147">
        <f t="shared" si="299"/>
        <v>0</v>
      </c>
      <c r="H680" s="105">
        <f>H681</f>
        <v>4025</v>
      </c>
      <c r="I680" s="105">
        <f t="shared" si="321"/>
        <v>3876.5733600000003</v>
      </c>
      <c r="J680" s="105">
        <f t="shared" si="291"/>
        <v>96.31238161490684</v>
      </c>
    </row>
    <row r="681" spans="1:10" s="175" customFormat="1" ht="24" x14ac:dyDescent="0.2">
      <c r="A681" s="117" t="s">
        <v>393</v>
      </c>
      <c r="B681" s="118" t="s">
        <v>474</v>
      </c>
      <c r="C681" s="118" t="s">
        <v>78</v>
      </c>
      <c r="D681" s="132" t="s">
        <v>264</v>
      </c>
      <c r="E681" s="118"/>
      <c r="F681" s="137">
        <f>F682+F685</f>
        <v>4025</v>
      </c>
      <c r="G681" s="147">
        <f t="shared" si="299"/>
        <v>0</v>
      </c>
      <c r="H681" s="137">
        <f>H682+H685</f>
        <v>4025</v>
      </c>
      <c r="I681" s="137">
        <f t="shared" ref="I681" si="322">I682+I685</f>
        <v>3876.5733600000003</v>
      </c>
      <c r="J681" s="137">
        <f t="shared" ref="J681:J749" si="323">I681/H681*100</f>
        <v>96.31238161490684</v>
      </c>
    </row>
    <row r="682" spans="1:10" s="175" customFormat="1" x14ac:dyDescent="0.2">
      <c r="A682" s="120" t="s">
        <v>375</v>
      </c>
      <c r="B682" s="104" t="s">
        <v>474</v>
      </c>
      <c r="C682" s="104" t="s">
        <v>78</v>
      </c>
      <c r="D682" s="104" t="s">
        <v>72</v>
      </c>
      <c r="E682" s="104"/>
      <c r="F682" s="105">
        <f>F683</f>
        <v>3750</v>
      </c>
      <c r="G682" s="147">
        <f t="shared" si="299"/>
        <v>69.5</v>
      </c>
      <c r="H682" s="105">
        <f>H683</f>
        <v>3819.5</v>
      </c>
      <c r="I682" s="105">
        <f t="shared" ref="I682:I683" si="324">I683</f>
        <v>3684.4801400000001</v>
      </c>
      <c r="J682" s="105">
        <f t="shared" si="323"/>
        <v>96.46498599293102</v>
      </c>
    </row>
    <row r="683" spans="1:10" s="175" customFormat="1" ht="24" x14ac:dyDescent="0.2">
      <c r="A683" s="112" t="s">
        <v>79</v>
      </c>
      <c r="B683" s="113" t="s">
        <v>474</v>
      </c>
      <c r="C683" s="113" t="s">
        <v>78</v>
      </c>
      <c r="D683" s="113" t="s">
        <v>72</v>
      </c>
      <c r="E683" s="113" t="s">
        <v>80</v>
      </c>
      <c r="F683" s="114">
        <f>F684</f>
        <v>3750</v>
      </c>
      <c r="G683" s="147">
        <f t="shared" si="299"/>
        <v>69.5</v>
      </c>
      <c r="H683" s="114">
        <f>H684</f>
        <v>3819.5</v>
      </c>
      <c r="I683" s="114">
        <f t="shared" si="324"/>
        <v>3684.4801400000001</v>
      </c>
      <c r="J683" s="114">
        <f t="shared" si="323"/>
        <v>96.46498599293102</v>
      </c>
    </row>
    <row r="684" spans="1:10" s="175" customFormat="1" x14ac:dyDescent="0.2">
      <c r="A684" s="112" t="s">
        <v>81</v>
      </c>
      <c r="B684" s="113" t="s">
        <v>474</v>
      </c>
      <c r="C684" s="113" t="s">
        <v>78</v>
      </c>
      <c r="D684" s="113" t="s">
        <v>72</v>
      </c>
      <c r="E684" s="113" t="s">
        <v>82</v>
      </c>
      <c r="F684" s="114">
        <f>2870+20+860</f>
        <v>3750</v>
      </c>
      <c r="G684" s="147">
        <f t="shared" si="299"/>
        <v>69.5</v>
      </c>
      <c r="H684" s="114">
        <f>2870+20+860+69.5</f>
        <v>3819.5</v>
      </c>
      <c r="I684" s="114">
        <v>3684.4801400000001</v>
      </c>
      <c r="J684" s="114">
        <f t="shared" si="323"/>
        <v>96.46498599293102</v>
      </c>
    </row>
    <row r="685" spans="1:10" s="175" customFormat="1" x14ac:dyDescent="0.2">
      <c r="A685" s="103" t="s">
        <v>83</v>
      </c>
      <c r="B685" s="104" t="s">
        <v>474</v>
      </c>
      <c r="C685" s="104" t="s">
        <v>78</v>
      </c>
      <c r="D685" s="104" t="s">
        <v>73</v>
      </c>
      <c r="E685" s="104"/>
      <c r="F685" s="105">
        <f>F686+F688</f>
        <v>275</v>
      </c>
      <c r="G685" s="147">
        <f t="shared" si="299"/>
        <v>-69.5</v>
      </c>
      <c r="H685" s="105">
        <f>H686+H688</f>
        <v>205.5</v>
      </c>
      <c r="I685" s="105">
        <f t="shared" ref="I685" si="325">I686+I688</f>
        <v>192.09322</v>
      </c>
      <c r="J685" s="105">
        <f t="shared" si="323"/>
        <v>93.476019464720196</v>
      </c>
    </row>
    <row r="686" spans="1:10" s="175" customFormat="1" x14ac:dyDescent="0.2">
      <c r="A686" s="112" t="s">
        <v>294</v>
      </c>
      <c r="B686" s="113" t="s">
        <v>474</v>
      </c>
      <c r="C686" s="113" t="s">
        <v>78</v>
      </c>
      <c r="D686" s="113" t="s">
        <v>73</v>
      </c>
      <c r="E686" s="113" t="s">
        <v>84</v>
      </c>
      <c r="F686" s="114">
        <f>F687</f>
        <v>235</v>
      </c>
      <c r="G686" s="147">
        <f t="shared" si="299"/>
        <v>-31.5</v>
      </c>
      <c r="H686" s="114">
        <f>H687</f>
        <v>203.5</v>
      </c>
      <c r="I686" s="114">
        <f t="shared" ref="I686" si="326">I687</f>
        <v>192.09322</v>
      </c>
      <c r="J686" s="114">
        <f t="shared" si="323"/>
        <v>94.394702702702702</v>
      </c>
    </row>
    <row r="687" spans="1:10" s="175" customFormat="1" x14ac:dyDescent="0.2">
      <c r="A687" s="112" t="s">
        <v>85</v>
      </c>
      <c r="B687" s="113" t="s">
        <v>474</v>
      </c>
      <c r="C687" s="113" t="s">
        <v>78</v>
      </c>
      <c r="D687" s="113" t="s">
        <v>73</v>
      </c>
      <c r="E687" s="113" t="s">
        <v>86</v>
      </c>
      <c r="F687" s="114">
        <f>85+100+50</f>
        <v>235</v>
      </c>
      <c r="G687" s="147">
        <f t="shared" si="299"/>
        <v>-31.5</v>
      </c>
      <c r="H687" s="114">
        <f>85+100+50-16-15.5</f>
        <v>203.5</v>
      </c>
      <c r="I687" s="114">
        <v>192.09322</v>
      </c>
      <c r="J687" s="114">
        <f t="shared" si="323"/>
        <v>94.394702702702702</v>
      </c>
    </row>
    <row r="688" spans="1:10" s="175" customFormat="1" x14ac:dyDescent="0.2">
      <c r="A688" s="112" t="s">
        <v>87</v>
      </c>
      <c r="B688" s="113" t="s">
        <v>474</v>
      </c>
      <c r="C688" s="113" t="s">
        <v>78</v>
      </c>
      <c r="D688" s="113" t="s">
        <v>73</v>
      </c>
      <c r="E688" s="113" t="s">
        <v>88</v>
      </c>
      <c r="F688" s="114">
        <f>F689</f>
        <v>40</v>
      </c>
      <c r="G688" s="147">
        <f t="shared" si="299"/>
        <v>-38</v>
      </c>
      <c r="H688" s="114">
        <f>H689</f>
        <v>2</v>
      </c>
      <c r="I688" s="212">
        <f t="shared" ref="I688" si="327">I689</f>
        <v>0</v>
      </c>
      <c r="J688" s="212">
        <f t="shared" si="323"/>
        <v>0</v>
      </c>
    </row>
    <row r="689" spans="1:10" s="175" customFormat="1" x14ac:dyDescent="0.2">
      <c r="A689" s="112" t="s">
        <v>500</v>
      </c>
      <c r="B689" s="113" t="s">
        <v>474</v>
      </c>
      <c r="C689" s="113" t="s">
        <v>78</v>
      </c>
      <c r="D689" s="113" t="s">
        <v>73</v>
      </c>
      <c r="E689" s="113" t="s">
        <v>89</v>
      </c>
      <c r="F689" s="114">
        <v>40</v>
      </c>
      <c r="G689" s="147">
        <f t="shared" si="299"/>
        <v>-38</v>
      </c>
      <c r="H689" s="114">
        <f>40-38</f>
        <v>2</v>
      </c>
      <c r="I689" s="212">
        <v>0</v>
      </c>
      <c r="J689" s="212">
        <f t="shared" si="323"/>
        <v>0</v>
      </c>
    </row>
    <row r="690" spans="1:10" s="175" customFormat="1" ht="27" x14ac:dyDescent="0.2">
      <c r="A690" s="116" t="s">
        <v>672</v>
      </c>
      <c r="B690" s="107" t="s">
        <v>474</v>
      </c>
      <c r="C690" s="107" t="s">
        <v>78</v>
      </c>
      <c r="D690" s="107" t="s">
        <v>266</v>
      </c>
      <c r="E690" s="107"/>
      <c r="F690" s="108" t="e">
        <f>F691+F694</f>
        <v>#REF!</v>
      </c>
      <c r="G690" s="147" t="e">
        <f t="shared" si="299"/>
        <v>#REF!</v>
      </c>
      <c r="H690" s="108">
        <f>H691+H694</f>
        <v>18242.05</v>
      </c>
      <c r="I690" s="108">
        <f t="shared" ref="I690" si="328">I691+I694</f>
        <v>18192.266</v>
      </c>
      <c r="J690" s="119">
        <f t="shared" si="323"/>
        <v>99.727092075726148</v>
      </c>
    </row>
    <row r="691" spans="1:10" s="175" customFormat="1" x14ac:dyDescent="0.2">
      <c r="A691" s="103" t="s">
        <v>684</v>
      </c>
      <c r="B691" s="104" t="s">
        <v>474</v>
      </c>
      <c r="C691" s="104" t="s">
        <v>78</v>
      </c>
      <c r="D691" s="104" t="s">
        <v>626</v>
      </c>
      <c r="E691" s="104"/>
      <c r="F691" s="105">
        <f>F692</f>
        <v>10000</v>
      </c>
      <c r="G691" s="147">
        <f t="shared" si="299"/>
        <v>7972.0499999999993</v>
      </c>
      <c r="H691" s="105">
        <f>H692</f>
        <v>17972.05</v>
      </c>
      <c r="I691" s="105">
        <f t="shared" ref="I691:I692" si="329">I692</f>
        <v>17972.05</v>
      </c>
      <c r="J691" s="105">
        <f t="shared" si="323"/>
        <v>100</v>
      </c>
    </row>
    <row r="692" spans="1:10" s="175" customFormat="1" x14ac:dyDescent="0.2">
      <c r="A692" s="112" t="s">
        <v>221</v>
      </c>
      <c r="B692" s="113" t="s">
        <v>474</v>
      </c>
      <c r="C692" s="113" t="s">
        <v>78</v>
      </c>
      <c r="D692" s="113" t="s">
        <v>626</v>
      </c>
      <c r="E692" s="113" t="s">
        <v>418</v>
      </c>
      <c r="F692" s="114">
        <f>F693</f>
        <v>10000</v>
      </c>
      <c r="G692" s="148">
        <f t="shared" si="299"/>
        <v>7972.0499999999993</v>
      </c>
      <c r="H692" s="114">
        <f>H693</f>
        <v>17972.05</v>
      </c>
      <c r="I692" s="114">
        <f t="shared" si="329"/>
        <v>17972.05</v>
      </c>
      <c r="J692" s="114">
        <f t="shared" si="323"/>
        <v>100</v>
      </c>
    </row>
    <row r="693" spans="1:10" s="175" customFormat="1" x14ac:dyDescent="0.2">
      <c r="A693" s="112" t="s">
        <v>419</v>
      </c>
      <c r="B693" s="113" t="s">
        <v>474</v>
      </c>
      <c r="C693" s="113" t="s">
        <v>78</v>
      </c>
      <c r="D693" s="113" t="s">
        <v>626</v>
      </c>
      <c r="E693" s="113" t="s">
        <v>420</v>
      </c>
      <c r="F693" s="114">
        <v>10000</v>
      </c>
      <c r="G693" s="148">
        <f t="shared" si="299"/>
        <v>7972.0499999999993</v>
      </c>
      <c r="H693" s="114">
        <f>10000+8000-27.95</f>
        <v>17972.05</v>
      </c>
      <c r="I693" s="114">
        <v>17972.05</v>
      </c>
      <c r="J693" s="114">
        <f t="shared" si="323"/>
        <v>100</v>
      </c>
    </row>
    <row r="694" spans="1:10" s="175" customFormat="1" x14ac:dyDescent="0.2">
      <c r="A694" s="134" t="s">
        <v>136</v>
      </c>
      <c r="B694" s="104" t="s">
        <v>474</v>
      </c>
      <c r="C694" s="104" t="s">
        <v>78</v>
      </c>
      <c r="D694" s="104" t="s">
        <v>619</v>
      </c>
      <c r="E694" s="104"/>
      <c r="F694" s="105" t="e">
        <f>F695+#REF!</f>
        <v>#REF!</v>
      </c>
      <c r="G694" s="147" t="e">
        <f t="shared" si="299"/>
        <v>#REF!</v>
      </c>
      <c r="H694" s="105">
        <f>H695</f>
        <v>270</v>
      </c>
      <c r="I694" s="105">
        <f t="shared" ref="I694:I695" si="330">I695</f>
        <v>220.21600000000001</v>
      </c>
      <c r="J694" s="105">
        <f t="shared" si="323"/>
        <v>81.561481481481479</v>
      </c>
    </row>
    <row r="695" spans="1:10" s="175" customFormat="1" x14ac:dyDescent="0.2">
      <c r="A695" s="112" t="s">
        <v>294</v>
      </c>
      <c r="B695" s="113" t="s">
        <v>474</v>
      </c>
      <c r="C695" s="113" t="s">
        <v>78</v>
      </c>
      <c r="D695" s="113" t="s">
        <v>619</v>
      </c>
      <c r="E695" s="113" t="s">
        <v>84</v>
      </c>
      <c r="F695" s="114">
        <f>F696</f>
        <v>500</v>
      </c>
      <c r="G695" s="147">
        <f t="shared" si="299"/>
        <v>-230</v>
      </c>
      <c r="H695" s="114">
        <f>H696</f>
        <v>270</v>
      </c>
      <c r="I695" s="114">
        <f t="shared" si="330"/>
        <v>220.21600000000001</v>
      </c>
      <c r="J695" s="114">
        <f t="shared" si="323"/>
        <v>81.561481481481479</v>
      </c>
    </row>
    <row r="696" spans="1:10" s="175" customFormat="1" x14ac:dyDescent="0.2">
      <c r="A696" s="112" t="s">
        <v>85</v>
      </c>
      <c r="B696" s="113" t="s">
        <v>474</v>
      </c>
      <c r="C696" s="113" t="s">
        <v>78</v>
      </c>
      <c r="D696" s="113" t="s">
        <v>619</v>
      </c>
      <c r="E696" s="113" t="s">
        <v>86</v>
      </c>
      <c r="F696" s="114">
        <v>500</v>
      </c>
      <c r="G696" s="147">
        <f t="shared" ref="G696:G774" si="331">H696-F696</f>
        <v>-230</v>
      </c>
      <c r="H696" s="114">
        <f>500-230</f>
        <v>270</v>
      </c>
      <c r="I696" s="114">
        <v>220.21600000000001</v>
      </c>
      <c r="J696" s="114">
        <f t="shared" si="323"/>
        <v>81.561481481481479</v>
      </c>
    </row>
    <row r="697" spans="1:10" s="175" customFormat="1" x14ac:dyDescent="0.2">
      <c r="A697" s="117" t="s">
        <v>439</v>
      </c>
      <c r="B697" s="118" t="s">
        <v>474</v>
      </c>
      <c r="C697" s="118" t="s">
        <v>78</v>
      </c>
      <c r="D697" s="118" t="s">
        <v>209</v>
      </c>
      <c r="E697" s="104"/>
      <c r="F697" s="119">
        <f>F698</f>
        <v>195.3</v>
      </c>
      <c r="G697" s="147">
        <f t="shared" si="331"/>
        <v>-32.91977</v>
      </c>
      <c r="H697" s="119">
        <f>H698</f>
        <v>162.38023000000001</v>
      </c>
      <c r="I697" s="119">
        <f>I698</f>
        <v>162.38023000000001</v>
      </c>
      <c r="J697" s="119">
        <f t="shared" si="323"/>
        <v>100</v>
      </c>
    </row>
    <row r="698" spans="1:10" s="175" customFormat="1" x14ac:dyDescent="0.2">
      <c r="A698" s="103" t="s">
        <v>297</v>
      </c>
      <c r="B698" s="104" t="s">
        <v>474</v>
      </c>
      <c r="C698" s="104" t="s">
        <v>78</v>
      </c>
      <c r="D698" s="104" t="s">
        <v>210</v>
      </c>
      <c r="E698" s="104"/>
      <c r="F698" s="105">
        <f>F699</f>
        <v>195.3</v>
      </c>
      <c r="G698" s="147">
        <f t="shared" si="331"/>
        <v>-32.91977</v>
      </c>
      <c r="H698" s="105">
        <f>H699</f>
        <v>162.38023000000001</v>
      </c>
      <c r="I698" s="105">
        <f>I699</f>
        <v>162.38023000000001</v>
      </c>
      <c r="J698" s="105">
        <f t="shared" si="323"/>
        <v>100</v>
      </c>
    </row>
    <row r="699" spans="1:10" s="175" customFormat="1" ht="24" x14ac:dyDescent="0.2">
      <c r="A699" s="117" t="s">
        <v>768</v>
      </c>
      <c r="B699" s="104" t="s">
        <v>474</v>
      </c>
      <c r="C699" s="104" t="s">
        <v>78</v>
      </c>
      <c r="D699" s="118" t="s">
        <v>769</v>
      </c>
      <c r="E699" s="118"/>
      <c r="F699" s="119">
        <f t="shared" ref="F699:I700" si="332">F700</f>
        <v>195.3</v>
      </c>
      <c r="G699" s="119">
        <f t="shared" si="332"/>
        <v>195.3</v>
      </c>
      <c r="H699" s="119">
        <f t="shared" si="332"/>
        <v>162.38023000000001</v>
      </c>
      <c r="I699" s="119">
        <f t="shared" si="332"/>
        <v>162.38023000000001</v>
      </c>
      <c r="J699" s="119">
        <f t="shared" si="323"/>
        <v>100</v>
      </c>
    </row>
    <row r="700" spans="1:10" s="175" customFormat="1" ht="24" x14ac:dyDescent="0.2">
      <c r="A700" s="112" t="s">
        <v>79</v>
      </c>
      <c r="B700" s="113" t="s">
        <v>474</v>
      </c>
      <c r="C700" s="113" t="s">
        <v>78</v>
      </c>
      <c r="D700" s="113" t="s">
        <v>769</v>
      </c>
      <c r="E700" s="113" t="s">
        <v>80</v>
      </c>
      <c r="F700" s="114">
        <f t="shared" si="332"/>
        <v>195.3</v>
      </c>
      <c r="G700" s="114">
        <f t="shared" si="332"/>
        <v>195.3</v>
      </c>
      <c r="H700" s="114">
        <f t="shared" si="332"/>
        <v>162.38023000000001</v>
      </c>
      <c r="I700" s="114">
        <f t="shared" si="332"/>
        <v>162.38023000000001</v>
      </c>
      <c r="J700" s="114">
        <f t="shared" si="323"/>
        <v>100</v>
      </c>
    </row>
    <row r="701" spans="1:10" s="175" customFormat="1" x14ac:dyDescent="0.2">
      <c r="A701" s="112" t="s">
        <v>81</v>
      </c>
      <c r="B701" s="113" t="s">
        <v>474</v>
      </c>
      <c r="C701" s="113" t="s">
        <v>78</v>
      </c>
      <c r="D701" s="113" t="s">
        <v>769</v>
      </c>
      <c r="E701" s="113" t="s">
        <v>82</v>
      </c>
      <c r="F701" s="114">
        <v>195.3</v>
      </c>
      <c r="G701" s="114">
        <v>195.3</v>
      </c>
      <c r="H701" s="114">
        <v>162.38023000000001</v>
      </c>
      <c r="I701" s="114">
        <v>162.38023000000001</v>
      </c>
      <c r="J701" s="114">
        <f t="shared" si="323"/>
        <v>100</v>
      </c>
    </row>
    <row r="702" spans="1:10" s="175" customFormat="1" x14ac:dyDescent="0.2">
      <c r="A702" s="103" t="s">
        <v>389</v>
      </c>
      <c r="B702" s="104" t="s">
        <v>501</v>
      </c>
      <c r="C702" s="104" t="s">
        <v>77</v>
      </c>
      <c r="D702" s="104"/>
      <c r="E702" s="104"/>
      <c r="F702" s="105" t="e">
        <f>F703+F709+F733</f>
        <v>#REF!</v>
      </c>
      <c r="G702" s="147" t="e">
        <f t="shared" si="331"/>
        <v>#REF!</v>
      </c>
      <c r="H702" s="105">
        <f>H703+H709+H733</f>
        <v>84586.337</v>
      </c>
      <c r="I702" s="147">
        <f>I703+I709+I733</f>
        <v>82201.838910000006</v>
      </c>
      <c r="J702" s="105">
        <f t="shared" si="323"/>
        <v>97.180989064463219</v>
      </c>
    </row>
    <row r="703" spans="1:10" s="175" customFormat="1" x14ac:dyDescent="0.2">
      <c r="A703" s="103" t="s">
        <v>372</v>
      </c>
      <c r="B703" s="104" t="s">
        <v>501</v>
      </c>
      <c r="C703" s="104" t="s">
        <v>76</v>
      </c>
      <c r="D703" s="104" t="s">
        <v>209</v>
      </c>
      <c r="E703" s="104"/>
      <c r="F703" s="105">
        <f>F704</f>
        <v>17150</v>
      </c>
      <c r="G703" s="147">
        <f t="shared" si="331"/>
        <v>0</v>
      </c>
      <c r="H703" s="105">
        <f>H704</f>
        <v>17150</v>
      </c>
      <c r="I703" s="105">
        <f t="shared" ref="I703:I707" si="333">I704</f>
        <v>17150</v>
      </c>
      <c r="J703" s="105">
        <f t="shared" si="323"/>
        <v>100</v>
      </c>
    </row>
    <row r="704" spans="1:10" s="175" customFormat="1" x14ac:dyDescent="0.2">
      <c r="A704" s="117" t="s">
        <v>439</v>
      </c>
      <c r="B704" s="118" t="s">
        <v>501</v>
      </c>
      <c r="C704" s="118" t="s">
        <v>76</v>
      </c>
      <c r="D704" s="118" t="s">
        <v>209</v>
      </c>
      <c r="E704" s="104"/>
      <c r="F704" s="119">
        <f>F705</f>
        <v>17150</v>
      </c>
      <c r="G704" s="147">
        <f t="shared" si="331"/>
        <v>0</v>
      </c>
      <c r="H704" s="119">
        <f>H705</f>
        <v>17150</v>
      </c>
      <c r="I704" s="119">
        <f t="shared" si="333"/>
        <v>17150</v>
      </c>
      <c r="J704" s="119">
        <f t="shared" si="323"/>
        <v>100</v>
      </c>
    </row>
    <row r="705" spans="1:10" s="175" customFormat="1" x14ac:dyDescent="0.2">
      <c r="A705" s="103" t="s">
        <v>297</v>
      </c>
      <c r="B705" s="104" t="s">
        <v>501</v>
      </c>
      <c r="C705" s="104" t="s">
        <v>76</v>
      </c>
      <c r="D705" s="104" t="s">
        <v>210</v>
      </c>
      <c r="E705" s="104"/>
      <c r="F705" s="105">
        <f>F706</f>
        <v>17150</v>
      </c>
      <c r="G705" s="147">
        <f t="shared" si="331"/>
        <v>0</v>
      </c>
      <c r="H705" s="105">
        <f>H706</f>
        <v>17150</v>
      </c>
      <c r="I705" s="105">
        <f t="shared" si="333"/>
        <v>17150</v>
      </c>
      <c r="J705" s="105">
        <f t="shared" si="323"/>
        <v>100</v>
      </c>
    </row>
    <row r="706" spans="1:10" s="175" customFormat="1" ht="24" x14ac:dyDescent="0.2">
      <c r="A706" s="103" t="s">
        <v>384</v>
      </c>
      <c r="B706" s="104" t="s">
        <v>501</v>
      </c>
      <c r="C706" s="104" t="s">
        <v>76</v>
      </c>
      <c r="D706" s="104" t="s">
        <v>485</v>
      </c>
      <c r="E706" s="104"/>
      <c r="F706" s="105">
        <f>F707</f>
        <v>17150</v>
      </c>
      <c r="G706" s="147">
        <f t="shared" si="331"/>
        <v>0</v>
      </c>
      <c r="H706" s="105">
        <f>H707</f>
        <v>17150</v>
      </c>
      <c r="I706" s="105">
        <f t="shared" si="333"/>
        <v>17150</v>
      </c>
      <c r="J706" s="105">
        <f t="shared" si="323"/>
        <v>100</v>
      </c>
    </row>
    <row r="707" spans="1:10" s="175" customFormat="1" x14ac:dyDescent="0.2">
      <c r="A707" s="112" t="s">
        <v>95</v>
      </c>
      <c r="B707" s="113" t="s">
        <v>501</v>
      </c>
      <c r="C707" s="113" t="s">
        <v>76</v>
      </c>
      <c r="D707" s="113" t="s">
        <v>485</v>
      </c>
      <c r="E707" s="113" t="s">
        <v>94</v>
      </c>
      <c r="F707" s="114">
        <f>F708</f>
        <v>17150</v>
      </c>
      <c r="G707" s="147">
        <f t="shared" si="331"/>
        <v>0</v>
      </c>
      <c r="H707" s="114">
        <f>H708</f>
        <v>17150</v>
      </c>
      <c r="I707" s="114">
        <f t="shared" si="333"/>
        <v>17150</v>
      </c>
      <c r="J707" s="114">
        <f t="shared" si="323"/>
        <v>100</v>
      </c>
    </row>
    <row r="708" spans="1:10" s="175" customFormat="1" x14ac:dyDescent="0.2">
      <c r="A708" s="112" t="s">
        <v>155</v>
      </c>
      <c r="B708" s="113" t="s">
        <v>501</v>
      </c>
      <c r="C708" s="113" t="s">
        <v>76</v>
      </c>
      <c r="D708" s="113" t="s">
        <v>485</v>
      </c>
      <c r="E708" s="113" t="s">
        <v>504</v>
      </c>
      <c r="F708" s="114">
        <v>17150</v>
      </c>
      <c r="G708" s="147">
        <f t="shared" si="331"/>
        <v>0</v>
      </c>
      <c r="H708" s="114">
        <v>17150</v>
      </c>
      <c r="I708" s="114">
        <v>17150</v>
      </c>
      <c r="J708" s="114">
        <f t="shared" si="323"/>
        <v>100</v>
      </c>
    </row>
    <row r="709" spans="1:10" s="175" customFormat="1" x14ac:dyDescent="0.2">
      <c r="A709" s="103" t="s">
        <v>377</v>
      </c>
      <c r="B709" s="104" t="s">
        <v>501</v>
      </c>
      <c r="C709" s="104" t="s">
        <v>469</v>
      </c>
      <c r="D709" s="104"/>
      <c r="E709" s="104"/>
      <c r="F709" s="105" t="e">
        <f>F710+F714+F719</f>
        <v>#REF!</v>
      </c>
      <c r="G709" s="147" t="e">
        <f t="shared" si="331"/>
        <v>#REF!</v>
      </c>
      <c r="H709" s="105">
        <f>H710+H714+H719</f>
        <v>56104.167000000001</v>
      </c>
      <c r="I709" s="105">
        <f>I710+I714+I719</f>
        <v>53768.085000000006</v>
      </c>
      <c r="J709" s="105">
        <f t="shared" si="323"/>
        <v>95.836170243825208</v>
      </c>
    </row>
    <row r="710" spans="1:10" s="175" customFormat="1" ht="40.5" x14ac:dyDescent="0.2">
      <c r="A710" s="116" t="s">
        <v>562</v>
      </c>
      <c r="B710" s="107" t="s">
        <v>501</v>
      </c>
      <c r="C710" s="107" t="s">
        <v>469</v>
      </c>
      <c r="D710" s="142" t="s">
        <v>250</v>
      </c>
      <c r="E710" s="107"/>
      <c r="F710" s="108">
        <f>F711</f>
        <v>1500</v>
      </c>
      <c r="G710" s="147">
        <f t="shared" si="331"/>
        <v>0</v>
      </c>
      <c r="H710" s="108">
        <f>H711</f>
        <v>1500</v>
      </c>
      <c r="I710" s="108">
        <f t="shared" ref="I710:I712" si="334">I711</f>
        <v>1005</v>
      </c>
      <c r="J710" s="108">
        <f t="shared" si="323"/>
        <v>67</v>
      </c>
    </row>
    <row r="711" spans="1:10" s="175" customFormat="1" ht="24" x14ac:dyDescent="0.2">
      <c r="A711" s="134" t="s">
        <v>49</v>
      </c>
      <c r="B711" s="104" t="s">
        <v>501</v>
      </c>
      <c r="C711" s="104" t="s">
        <v>469</v>
      </c>
      <c r="D711" s="135" t="s">
        <v>563</v>
      </c>
      <c r="E711" s="104"/>
      <c r="F711" s="105">
        <f>F712</f>
        <v>1500</v>
      </c>
      <c r="G711" s="147">
        <f t="shared" si="331"/>
        <v>0</v>
      </c>
      <c r="H711" s="105">
        <f>H712</f>
        <v>1500</v>
      </c>
      <c r="I711" s="105">
        <f t="shared" si="334"/>
        <v>1005</v>
      </c>
      <c r="J711" s="105">
        <f t="shared" si="323"/>
        <v>67</v>
      </c>
    </row>
    <row r="712" spans="1:10" s="175" customFormat="1" x14ac:dyDescent="0.2">
      <c r="A712" s="112" t="s">
        <v>95</v>
      </c>
      <c r="B712" s="113" t="s">
        <v>501</v>
      </c>
      <c r="C712" s="113" t="s">
        <v>469</v>
      </c>
      <c r="D712" s="123" t="s">
        <v>563</v>
      </c>
      <c r="E712" s="113" t="s">
        <v>94</v>
      </c>
      <c r="F712" s="114">
        <f>F713</f>
        <v>1500</v>
      </c>
      <c r="G712" s="147">
        <f t="shared" si="331"/>
        <v>0</v>
      </c>
      <c r="H712" s="114">
        <f>H713</f>
        <v>1500</v>
      </c>
      <c r="I712" s="114">
        <f t="shared" si="334"/>
        <v>1005</v>
      </c>
      <c r="J712" s="114">
        <f t="shared" si="323"/>
        <v>67</v>
      </c>
    </row>
    <row r="713" spans="1:10" s="175" customFormat="1" x14ac:dyDescent="0.2">
      <c r="A713" s="112" t="s">
        <v>155</v>
      </c>
      <c r="B713" s="113" t="s">
        <v>501</v>
      </c>
      <c r="C713" s="113" t="s">
        <v>469</v>
      </c>
      <c r="D713" s="123" t="s">
        <v>563</v>
      </c>
      <c r="E713" s="113" t="s">
        <v>504</v>
      </c>
      <c r="F713" s="114">
        <v>1500</v>
      </c>
      <c r="G713" s="147">
        <f t="shared" si="331"/>
        <v>0</v>
      </c>
      <c r="H713" s="114">
        <v>1500</v>
      </c>
      <c r="I713" s="114">
        <v>1005</v>
      </c>
      <c r="J713" s="114">
        <f t="shared" si="323"/>
        <v>67</v>
      </c>
    </row>
    <row r="714" spans="1:10" s="175" customFormat="1" ht="27" x14ac:dyDescent="0.2">
      <c r="A714" s="116" t="s">
        <v>667</v>
      </c>
      <c r="B714" s="107" t="s">
        <v>501</v>
      </c>
      <c r="C714" s="107" t="s">
        <v>469</v>
      </c>
      <c r="D714" s="107" t="s">
        <v>160</v>
      </c>
      <c r="E714" s="107"/>
      <c r="F714" s="108" t="e">
        <f>F715</f>
        <v>#REF!</v>
      </c>
      <c r="G714" s="147" t="e">
        <f t="shared" si="331"/>
        <v>#REF!</v>
      </c>
      <c r="H714" s="108">
        <f>H715</f>
        <v>640</v>
      </c>
      <c r="I714" s="108">
        <f t="shared" ref="I714" si="335">I715</f>
        <v>640</v>
      </c>
      <c r="J714" s="108">
        <f t="shared" si="323"/>
        <v>100</v>
      </c>
    </row>
    <row r="715" spans="1:10" s="175" customFormat="1" x14ac:dyDescent="0.2">
      <c r="A715" s="103" t="s">
        <v>283</v>
      </c>
      <c r="B715" s="104" t="s">
        <v>501</v>
      </c>
      <c r="C715" s="104" t="s">
        <v>469</v>
      </c>
      <c r="D715" s="104" t="s">
        <v>169</v>
      </c>
      <c r="E715" s="104"/>
      <c r="F715" s="105" t="e">
        <f>#REF!+F716</f>
        <v>#REF!</v>
      </c>
      <c r="G715" s="147" t="e">
        <f t="shared" si="331"/>
        <v>#REF!</v>
      </c>
      <c r="H715" s="105">
        <f>H716</f>
        <v>640</v>
      </c>
      <c r="I715" s="105">
        <f>I716</f>
        <v>640</v>
      </c>
      <c r="J715" s="105">
        <f t="shared" si="323"/>
        <v>100</v>
      </c>
    </row>
    <row r="716" spans="1:10" s="175" customFormat="1" ht="24" x14ac:dyDescent="0.2">
      <c r="A716" s="152" t="s">
        <v>176</v>
      </c>
      <c r="B716" s="132" t="s">
        <v>501</v>
      </c>
      <c r="C716" s="132" t="s">
        <v>469</v>
      </c>
      <c r="D716" s="132" t="s">
        <v>666</v>
      </c>
      <c r="E716" s="132"/>
      <c r="F716" s="137">
        <f>F717</f>
        <v>640</v>
      </c>
      <c r="G716" s="147">
        <f t="shared" si="331"/>
        <v>0</v>
      </c>
      <c r="H716" s="137">
        <f>H717</f>
        <v>640</v>
      </c>
      <c r="I716" s="137">
        <f t="shared" ref="I716:I717" si="336">I717</f>
        <v>640</v>
      </c>
      <c r="J716" s="137">
        <f t="shared" si="323"/>
        <v>100</v>
      </c>
    </row>
    <row r="717" spans="1:10" s="175" customFormat="1" x14ac:dyDescent="0.2">
      <c r="A717" s="112" t="s">
        <v>95</v>
      </c>
      <c r="B717" s="113" t="s">
        <v>501</v>
      </c>
      <c r="C717" s="113" t="s">
        <v>469</v>
      </c>
      <c r="D717" s="113" t="s">
        <v>666</v>
      </c>
      <c r="E717" s="113" t="s">
        <v>94</v>
      </c>
      <c r="F717" s="114">
        <f>F718</f>
        <v>640</v>
      </c>
      <c r="G717" s="147">
        <f t="shared" si="331"/>
        <v>0</v>
      </c>
      <c r="H717" s="114">
        <f>H718</f>
        <v>640</v>
      </c>
      <c r="I717" s="114">
        <f t="shared" si="336"/>
        <v>640</v>
      </c>
      <c r="J717" s="114">
        <f t="shared" si="323"/>
        <v>100</v>
      </c>
    </row>
    <row r="718" spans="1:10" s="175" customFormat="1" x14ac:dyDescent="0.2">
      <c r="A718" s="112" t="s">
        <v>96</v>
      </c>
      <c r="B718" s="113" t="s">
        <v>501</v>
      </c>
      <c r="C718" s="113" t="s">
        <v>469</v>
      </c>
      <c r="D718" s="113" t="s">
        <v>666</v>
      </c>
      <c r="E718" s="113" t="s">
        <v>97</v>
      </c>
      <c r="F718" s="114">
        <v>640</v>
      </c>
      <c r="G718" s="147">
        <f t="shared" si="331"/>
        <v>0</v>
      </c>
      <c r="H718" s="114">
        <v>640</v>
      </c>
      <c r="I718" s="114">
        <v>640</v>
      </c>
      <c r="J718" s="114">
        <f t="shared" si="323"/>
        <v>100</v>
      </c>
    </row>
    <row r="719" spans="1:10" s="175" customFormat="1" x14ac:dyDescent="0.2">
      <c r="A719" s="117" t="s">
        <v>439</v>
      </c>
      <c r="B719" s="118" t="s">
        <v>501</v>
      </c>
      <c r="C719" s="118" t="s">
        <v>469</v>
      </c>
      <c r="D719" s="118" t="s">
        <v>209</v>
      </c>
      <c r="E719" s="104"/>
      <c r="F719" s="119">
        <f>F720</f>
        <v>23000</v>
      </c>
      <c r="G719" s="147">
        <f t="shared" si="331"/>
        <v>30964.167000000001</v>
      </c>
      <c r="H719" s="119">
        <f>H720</f>
        <v>53964.167000000001</v>
      </c>
      <c r="I719" s="119">
        <f t="shared" ref="I719" si="337">I720</f>
        <v>52123.085000000006</v>
      </c>
      <c r="J719" s="119">
        <f t="shared" si="323"/>
        <v>96.58832498980297</v>
      </c>
    </row>
    <row r="720" spans="1:10" s="175" customFormat="1" x14ac:dyDescent="0.2">
      <c r="A720" s="103" t="s">
        <v>297</v>
      </c>
      <c r="B720" s="104" t="s">
        <v>501</v>
      </c>
      <c r="C720" s="104" t="s">
        <v>469</v>
      </c>
      <c r="D720" s="104" t="s">
        <v>210</v>
      </c>
      <c r="E720" s="104"/>
      <c r="F720" s="105">
        <f>F724+F727</f>
        <v>23000</v>
      </c>
      <c r="G720" s="147">
        <f t="shared" si="331"/>
        <v>30964.167000000001</v>
      </c>
      <c r="H720" s="105">
        <f>H724+H727+H721+H730</f>
        <v>53964.167000000001</v>
      </c>
      <c r="I720" s="105">
        <f t="shared" ref="I720" si="338">I724+I727+I721+I730</f>
        <v>52123.085000000006</v>
      </c>
      <c r="J720" s="105">
        <f t="shared" si="323"/>
        <v>96.58832498980297</v>
      </c>
    </row>
    <row r="721" spans="1:10" s="175" customFormat="1" x14ac:dyDescent="0.2">
      <c r="A721" s="103" t="s">
        <v>690</v>
      </c>
      <c r="B721" s="104" t="s">
        <v>501</v>
      </c>
      <c r="C721" s="104" t="s">
        <v>469</v>
      </c>
      <c r="D721" s="149" t="s">
        <v>691</v>
      </c>
      <c r="E721" s="104"/>
      <c r="F721" s="105">
        <v>30664.167000000001</v>
      </c>
      <c r="G721" s="147"/>
      <c r="H721" s="105">
        <f>H722</f>
        <v>30664.167000000001</v>
      </c>
      <c r="I721" s="105">
        <f t="shared" ref="I721:I722" si="339">I722</f>
        <v>30664.167000000001</v>
      </c>
      <c r="J721" s="105">
        <f t="shared" si="323"/>
        <v>100</v>
      </c>
    </row>
    <row r="722" spans="1:10" s="175" customFormat="1" x14ac:dyDescent="0.2">
      <c r="A722" s="112" t="s">
        <v>95</v>
      </c>
      <c r="B722" s="113" t="s">
        <v>501</v>
      </c>
      <c r="C722" s="113" t="s">
        <v>469</v>
      </c>
      <c r="D722" s="150" t="s">
        <v>691</v>
      </c>
      <c r="E722" s="113" t="s">
        <v>94</v>
      </c>
      <c r="F722" s="114">
        <v>30664.167000000001</v>
      </c>
      <c r="G722" s="147"/>
      <c r="H722" s="114">
        <f>H723</f>
        <v>30664.167000000001</v>
      </c>
      <c r="I722" s="114">
        <f t="shared" si="339"/>
        <v>30664.167000000001</v>
      </c>
      <c r="J722" s="114">
        <f t="shared" si="323"/>
        <v>100</v>
      </c>
    </row>
    <row r="723" spans="1:10" s="175" customFormat="1" x14ac:dyDescent="0.2">
      <c r="A723" s="112" t="s">
        <v>96</v>
      </c>
      <c r="B723" s="113" t="s">
        <v>501</v>
      </c>
      <c r="C723" s="113" t="s">
        <v>469</v>
      </c>
      <c r="D723" s="150" t="s">
        <v>691</v>
      </c>
      <c r="E723" s="113" t="s">
        <v>97</v>
      </c>
      <c r="F723" s="114">
        <v>30664.167000000001</v>
      </c>
      <c r="G723" s="147"/>
      <c r="H723" s="114">
        <v>30664.167000000001</v>
      </c>
      <c r="I723" s="114">
        <v>30664.167000000001</v>
      </c>
      <c r="J723" s="114">
        <f t="shared" si="323"/>
        <v>100</v>
      </c>
    </row>
    <row r="724" spans="1:10" s="175" customFormat="1" x14ac:dyDescent="0.2">
      <c r="A724" s="103" t="s">
        <v>443</v>
      </c>
      <c r="B724" s="104" t="s">
        <v>501</v>
      </c>
      <c r="C724" s="104" t="s">
        <v>469</v>
      </c>
      <c r="D724" s="149" t="s">
        <v>482</v>
      </c>
      <c r="E724" s="104"/>
      <c r="F724" s="105">
        <f>F725</f>
        <v>3000</v>
      </c>
      <c r="G724" s="147">
        <f t="shared" si="331"/>
        <v>0</v>
      </c>
      <c r="H724" s="105">
        <f>H725</f>
        <v>3000</v>
      </c>
      <c r="I724" s="105">
        <f t="shared" ref="I724:I725" si="340">I725</f>
        <v>1247.1079999999999</v>
      </c>
      <c r="J724" s="105">
        <f t="shared" si="323"/>
        <v>41.570266666666669</v>
      </c>
    </row>
    <row r="725" spans="1:10" s="175" customFormat="1" x14ac:dyDescent="0.2">
      <c r="A725" s="112" t="s">
        <v>95</v>
      </c>
      <c r="B725" s="113" t="s">
        <v>501</v>
      </c>
      <c r="C725" s="113" t="s">
        <v>469</v>
      </c>
      <c r="D725" s="150" t="s">
        <v>482</v>
      </c>
      <c r="E725" s="113" t="s">
        <v>94</v>
      </c>
      <c r="F725" s="114">
        <f>F726</f>
        <v>3000</v>
      </c>
      <c r="G725" s="147">
        <f t="shared" si="331"/>
        <v>0</v>
      </c>
      <c r="H725" s="114">
        <f>H726</f>
        <v>3000</v>
      </c>
      <c r="I725" s="114">
        <f t="shared" si="340"/>
        <v>1247.1079999999999</v>
      </c>
      <c r="J725" s="114">
        <f t="shared" si="323"/>
        <v>41.570266666666669</v>
      </c>
    </row>
    <row r="726" spans="1:10" s="175" customFormat="1" x14ac:dyDescent="0.2">
      <c r="A726" s="112" t="s">
        <v>96</v>
      </c>
      <c r="B726" s="113" t="s">
        <v>501</v>
      </c>
      <c r="C726" s="113" t="s">
        <v>469</v>
      </c>
      <c r="D726" s="150" t="s">
        <v>482</v>
      </c>
      <c r="E726" s="113" t="s">
        <v>97</v>
      </c>
      <c r="F726" s="114">
        <v>3000</v>
      </c>
      <c r="G726" s="147">
        <f t="shared" si="331"/>
        <v>0</v>
      </c>
      <c r="H726" s="114">
        <v>3000</v>
      </c>
      <c r="I726" s="114">
        <v>1247.1079999999999</v>
      </c>
      <c r="J726" s="114">
        <f t="shared" si="323"/>
        <v>41.570266666666669</v>
      </c>
    </row>
    <row r="727" spans="1:10" s="175" customFormat="1" ht="24" x14ac:dyDescent="0.2">
      <c r="A727" s="103" t="s">
        <v>561</v>
      </c>
      <c r="B727" s="104" t="s">
        <v>501</v>
      </c>
      <c r="C727" s="104" t="s">
        <v>469</v>
      </c>
      <c r="D727" s="104" t="s">
        <v>486</v>
      </c>
      <c r="E727" s="104"/>
      <c r="F727" s="105">
        <f>F728</f>
        <v>20000</v>
      </c>
      <c r="G727" s="147">
        <f t="shared" si="331"/>
        <v>0</v>
      </c>
      <c r="H727" s="105">
        <f>H728</f>
        <v>20000</v>
      </c>
      <c r="I727" s="105">
        <f t="shared" ref="I727:I728" si="341">I728</f>
        <v>19911.810000000001</v>
      </c>
      <c r="J727" s="105">
        <f t="shared" si="323"/>
        <v>99.559049999999999</v>
      </c>
    </row>
    <row r="728" spans="1:10" s="175" customFormat="1" x14ac:dyDescent="0.2">
      <c r="A728" s="112" t="s">
        <v>95</v>
      </c>
      <c r="B728" s="113" t="s">
        <v>501</v>
      </c>
      <c r="C728" s="113" t="s">
        <v>469</v>
      </c>
      <c r="D728" s="113" t="s">
        <v>486</v>
      </c>
      <c r="E728" s="113" t="s">
        <v>94</v>
      </c>
      <c r="F728" s="114">
        <f>F729</f>
        <v>20000</v>
      </c>
      <c r="G728" s="147">
        <f t="shared" si="331"/>
        <v>0</v>
      </c>
      <c r="H728" s="114">
        <f>H729</f>
        <v>20000</v>
      </c>
      <c r="I728" s="114">
        <f t="shared" si="341"/>
        <v>19911.810000000001</v>
      </c>
      <c r="J728" s="114">
        <f t="shared" si="323"/>
        <v>99.559049999999999</v>
      </c>
    </row>
    <row r="729" spans="1:10" s="175" customFormat="1" x14ac:dyDescent="0.2">
      <c r="A729" s="112" t="s">
        <v>96</v>
      </c>
      <c r="B729" s="113" t="s">
        <v>501</v>
      </c>
      <c r="C729" s="113" t="s">
        <v>469</v>
      </c>
      <c r="D729" s="113" t="s">
        <v>486</v>
      </c>
      <c r="E729" s="113" t="s">
        <v>97</v>
      </c>
      <c r="F729" s="114">
        <v>20000</v>
      </c>
      <c r="G729" s="147">
        <f t="shared" si="331"/>
        <v>0</v>
      </c>
      <c r="H729" s="114">
        <v>20000</v>
      </c>
      <c r="I729" s="114">
        <v>19911.810000000001</v>
      </c>
      <c r="J729" s="114">
        <f t="shared" si="323"/>
        <v>99.559049999999999</v>
      </c>
    </row>
    <row r="730" spans="1:10" s="175" customFormat="1" x14ac:dyDescent="0.2">
      <c r="A730" s="103" t="s">
        <v>91</v>
      </c>
      <c r="B730" s="104" t="s">
        <v>501</v>
      </c>
      <c r="C730" s="104" t="s">
        <v>469</v>
      </c>
      <c r="D730" s="104" t="s">
        <v>314</v>
      </c>
      <c r="E730" s="104"/>
      <c r="F730" s="114"/>
      <c r="G730" s="147"/>
      <c r="H730" s="105">
        <f>H731</f>
        <v>300</v>
      </c>
      <c r="I730" s="105">
        <f t="shared" ref="I730:I731" si="342">I731</f>
        <v>300</v>
      </c>
      <c r="J730" s="105">
        <f t="shared" si="323"/>
        <v>100</v>
      </c>
    </row>
    <row r="731" spans="1:10" s="175" customFormat="1" x14ac:dyDescent="0.2">
      <c r="A731" s="112" t="s">
        <v>95</v>
      </c>
      <c r="B731" s="113" t="s">
        <v>501</v>
      </c>
      <c r="C731" s="113" t="s">
        <v>469</v>
      </c>
      <c r="D731" s="113" t="s">
        <v>314</v>
      </c>
      <c r="E731" s="113" t="s">
        <v>94</v>
      </c>
      <c r="F731" s="114"/>
      <c r="G731" s="147"/>
      <c r="H731" s="114">
        <f>H732</f>
        <v>300</v>
      </c>
      <c r="I731" s="114">
        <f t="shared" si="342"/>
        <v>300</v>
      </c>
      <c r="J731" s="114">
        <f t="shared" si="323"/>
        <v>100</v>
      </c>
    </row>
    <row r="732" spans="1:10" s="175" customFormat="1" x14ac:dyDescent="0.2">
      <c r="A732" s="112" t="s">
        <v>96</v>
      </c>
      <c r="B732" s="113" t="s">
        <v>501</v>
      </c>
      <c r="C732" s="113" t="s">
        <v>469</v>
      </c>
      <c r="D732" s="113" t="s">
        <v>314</v>
      </c>
      <c r="E732" s="113" t="s">
        <v>97</v>
      </c>
      <c r="F732" s="114"/>
      <c r="G732" s="147"/>
      <c r="H732" s="114">
        <v>300</v>
      </c>
      <c r="I732" s="114">
        <v>300</v>
      </c>
      <c r="J732" s="114">
        <f t="shared" si="323"/>
        <v>100</v>
      </c>
    </row>
    <row r="733" spans="1:10" s="175" customFormat="1" x14ac:dyDescent="0.2">
      <c r="A733" s="103" t="s">
        <v>378</v>
      </c>
      <c r="B733" s="104" t="s">
        <v>501</v>
      </c>
      <c r="C733" s="104" t="s">
        <v>78</v>
      </c>
      <c r="D733" s="104"/>
      <c r="E733" s="104"/>
      <c r="F733" s="105">
        <f>F734</f>
        <v>19000</v>
      </c>
      <c r="G733" s="147">
        <f t="shared" si="331"/>
        <v>-7667.8299999999981</v>
      </c>
      <c r="H733" s="105">
        <f>H734</f>
        <v>11332.170000000002</v>
      </c>
      <c r="I733" s="105">
        <f t="shared" ref="I733:I737" si="343">I734</f>
        <v>11283.753909999999</v>
      </c>
      <c r="J733" s="105">
        <f t="shared" si="323"/>
        <v>99.57275535047566</v>
      </c>
    </row>
    <row r="734" spans="1:10" s="175" customFormat="1" ht="27" x14ac:dyDescent="0.2">
      <c r="A734" s="116" t="s">
        <v>667</v>
      </c>
      <c r="B734" s="107" t="s">
        <v>501</v>
      </c>
      <c r="C734" s="107" t="s">
        <v>78</v>
      </c>
      <c r="D734" s="107" t="s">
        <v>160</v>
      </c>
      <c r="E734" s="118"/>
      <c r="F734" s="108">
        <f>F735</f>
        <v>19000</v>
      </c>
      <c r="G734" s="147">
        <f t="shared" si="331"/>
        <v>-7667.8299999999981</v>
      </c>
      <c r="H734" s="108">
        <f>H735</f>
        <v>11332.170000000002</v>
      </c>
      <c r="I734" s="108">
        <f t="shared" si="343"/>
        <v>11283.753909999999</v>
      </c>
      <c r="J734" s="108">
        <f t="shared" si="323"/>
        <v>99.57275535047566</v>
      </c>
    </row>
    <row r="735" spans="1:10" s="175" customFormat="1" x14ac:dyDescent="0.2">
      <c r="A735" s="103" t="s">
        <v>283</v>
      </c>
      <c r="B735" s="104" t="s">
        <v>501</v>
      </c>
      <c r="C735" s="104" t="s">
        <v>78</v>
      </c>
      <c r="D735" s="104" t="s">
        <v>169</v>
      </c>
      <c r="E735" s="104"/>
      <c r="F735" s="105">
        <f>F736</f>
        <v>19000</v>
      </c>
      <c r="G735" s="147">
        <f t="shared" si="331"/>
        <v>-7667.8299999999981</v>
      </c>
      <c r="H735" s="105">
        <f>H736</f>
        <v>11332.170000000002</v>
      </c>
      <c r="I735" s="105">
        <f t="shared" si="343"/>
        <v>11283.753909999999</v>
      </c>
      <c r="J735" s="105">
        <f t="shared" si="323"/>
        <v>99.57275535047566</v>
      </c>
    </row>
    <row r="736" spans="1:10" s="175" customFormat="1" ht="36" x14ac:dyDescent="0.2">
      <c r="A736" s="167" t="s">
        <v>498</v>
      </c>
      <c r="B736" s="132" t="s">
        <v>501</v>
      </c>
      <c r="C736" s="132" t="s">
        <v>78</v>
      </c>
      <c r="D736" s="132" t="s">
        <v>284</v>
      </c>
      <c r="E736" s="132"/>
      <c r="F736" s="137">
        <f>F737</f>
        <v>19000</v>
      </c>
      <c r="G736" s="147">
        <f t="shared" si="331"/>
        <v>-7667.8299999999981</v>
      </c>
      <c r="H736" s="137">
        <f>H737</f>
        <v>11332.170000000002</v>
      </c>
      <c r="I736" s="137">
        <f t="shared" si="343"/>
        <v>11283.753909999999</v>
      </c>
      <c r="J736" s="137">
        <f t="shared" si="323"/>
        <v>99.57275535047566</v>
      </c>
    </row>
    <row r="737" spans="1:10" s="175" customFormat="1" x14ac:dyDescent="0.2">
      <c r="A737" s="112" t="s">
        <v>95</v>
      </c>
      <c r="B737" s="113" t="s">
        <v>501</v>
      </c>
      <c r="C737" s="113" t="s">
        <v>78</v>
      </c>
      <c r="D737" s="113" t="s">
        <v>284</v>
      </c>
      <c r="E737" s="113" t="s">
        <v>94</v>
      </c>
      <c r="F737" s="114">
        <f>F738</f>
        <v>19000</v>
      </c>
      <c r="G737" s="147">
        <f t="shared" si="331"/>
        <v>-7667.8299999999981</v>
      </c>
      <c r="H737" s="114">
        <f>H738</f>
        <v>11332.170000000002</v>
      </c>
      <c r="I737" s="114">
        <f t="shared" si="343"/>
        <v>11283.753909999999</v>
      </c>
      <c r="J737" s="114">
        <f t="shared" si="323"/>
        <v>99.57275535047566</v>
      </c>
    </row>
    <row r="738" spans="1:10" s="175" customFormat="1" x14ac:dyDescent="0.2">
      <c r="A738" s="112" t="s">
        <v>155</v>
      </c>
      <c r="B738" s="113" t="s">
        <v>501</v>
      </c>
      <c r="C738" s="113" t="s">
        <v>78</v>
      </c>
      <c r="D738" s="113" t="s">
        <v>284</v>
      </c>
      <c r="E738" s="113" t="s">
        <v>504</v>
      </c>
      <c r="F738" s="114">
        <v>19000</v>
      </c>
      <c r="G738" s="147">
        <f t="shared" si="331"/>
        <v>-7667.8299999999981</v>
      </c>
      <c r="H738" s="114">
        <f>19000-2351.39-5316.44</f>
        <v>11332.170000000002</v>
      </c>
      <c r="I738" s="114">
        <v>11283.753909999999</v>
      </c>
      <c r="J738" s="114">
        <f t="shared" si="323"/>
        <v>99.57275535047566</v>
      </c>
    </row>
    <row r="739" spans="1:10" s="175" customFormat="1" ht="15.75" x14ac:dyDescent="0.2">
      <c r="A739" s="103" t="s">
        <v>381</v>
      </c>
      <c r="B739" s="104" t="s">
        <v>90</v>
      </c>
      <c r="C739" s="104" t="s">
        <v>77</v>
      </c>
      <c r="D739" s="109"/>
      <c r="E739" s="109"/>
      <c r="F739" s="105">
        <f>F740+F751</f>
        <v>7855</v>
      </c>
      <c r="G739" s="147">
        <f t="shared" si="331"/>
        <v>22549.10557</v>
      </c>
      <c r="H739" s="105">
        <f>H740+H751</f>
        <v>30404.10557</v>
      </c>
      <c r="I739" s="147">
        <f t="shared" ref="I739" si="344">I740+I751</f>
        <v>29858.774570000001</v>
      </c>
      <c r="J739" s="105">
        <f t="shared" si="323"/>
        <v>98.206390256261699</v>
      </c>
    </row>
    <row r="740" spans="1:10" s="175" customFormat="1" ht="15.75" x14ac:dyDescent="0.2">
      <c r="A740" s="103" t="s">
        <v>63</v>
      </c>
      <c r="B740" s="104" t="s">
        <v>90</v>
      </c>
      <c r="C740" s="104" t="s">
        <v>76</v>
      </c>
      <c r="D740" s="109"/>
      <c r="E740" s="109"/>
      <c r="F740" s="105">
        <f>F741</f>
        <v>4000</v>
      </c>
      <c r="G740" s="147">
        <f t="shared" si="331"/>
        <v>22015.235000000001</v>
      </c>
      <c r="H740" s="105">
        <f>H741</f>
        <v>26015.235000000001</v>
      </c>
      <c r="I740" s="105">
        <f t="shared" ref="I740" si="345">I741</f>
        <v>25619.53515</v>
      </c>
      <c r="J740" s="105">
        <f t="shared" si="323"/>
        <v>98.478968765802037</v>
      </c>
    </row>
    <row r="741" spans="1:10" s="175" customFormat="1" ht="27" x14ac:dyDescent="0.2">
      <c r="A741" s="116" t="s">
        <v>567</v>
      </c>
      <c r="B741" s="107" t="s">
        <v>90</v>
      </c>
      <c r="C741" s="107" t="s">
        <v>76</v>
      </c>
      <c r="D741" s="107" t="s">
        <v>52</v>
      </c>
      <c r="E741" s="107"/>
      <c r="F741" s="108">
        <f>F742</f>
        <v>4000</v>
      </c>
      <c r="G741" s="147">
        <f t="shared" si="331"/>
        <v>22015.235000000001</v>
      </c>
      <c r="H741" s="108">
        <f>H742+H746</f>
        <v>26015.235000000001</v>
      </c>
      <c r="I741" s="108">
        <f t="shared" ref="I741" si="346">I742+I746</f>
        <v>25619.53515</v>
      </c>
      <c r="J741" s="108">
        <f t="shared" si="323"/>
        <v>98.478968765802037</v>
      </c>
    </row>
    <row r="742" spans="1:10" s="175" customFormat="1" ht="24" x14ac:dyDescent="0.2">
      <c r="A742" s="103" t="s">
        <v>569</v>
      </c>
      <c r="B742" s="104" t="s">
        <v>90</v>
      </c>
      <c r="C742" s="104" t="s">
        <v>76</v>
      </c>
      <c r="D742" s="104" t="s">
        <v>66</v>
      </c>
      <c r="E742" s="109"/>
      <c r="F742" s="105">
        <f>F743</f>
        <v>4000</v>
      </c>
      <c r="G742" s="147">
        <f t="shared" si="331"/>
        <v>-2976.0650000000001</v>
      </c>
      <c r="H742" s="105">
        <f>H743</f>
        <v>1023.9349999999999</v>
      </c>
      <c r="I742" s="105">
        <f t="shared" ref="I742:I744" si="347">I743</f>
        <v>1023.9349999999999</v>
      </c>
      <c r="J742" s="105">
        <f t="shared" si="323"/>
        <v>100</v>
      </c>
    </row>
    <row r="743" spans="1:10" s="175" customFormat="1" ht="24" x14ac:dyDescent="0.2">
      <c r="A743" s="117" t="s">
        <v>346</v>
      </c>
      <c r="B743" s="118" t="s">
        <v>90</v>
      </c>
      <c r="C743" s="118" t="s">
        <v>76</v>
      </c>
      <c r="D743" s="118" t="s">
        <v>570</v>
      </c>
      <c r="E743" s="118"/>
      <c r="F743" s="119">
        <f>F744</f>
        <v>4000</v>
      </c>
      <c r="G743" s="147">
        <f t="shared" si="331"/>
        <v>-2976.0650000000001</v>
      </c>
      <c r="H743" s="119">
        <f>H744</f>
        <v>1023.9349999999999</v>
      </c>
      <c r="I743" s="119">
        <f t="shared" si="347"/>
        <v>1023.9349999999999</v>
      </c>
      <c r="J743" s="119">
        <f t="shared" si="323"/>
        <v>100</v>
      </c>
    </row>
    <row r="744" spans="1:10" s="175" customFormat="1" x14ac:dyDescent="0.2">
      <c r="A744" s="112" t="s">
        <v>582</v>
      </c>
      <c r="B744" s="113" t="s">
        <v>90</v>
      </c>
      <c r="C744" s="113" t="s">
        <v>76</v>
      </c>
      <c r="D744" s="113" t="s">
        <v>570</v>
      </c>
      <c r="E744" s="113" t="s">
        <v>84</v>
      </c>
      <c r="F744" s="114">
        <f>F745</f>
        <v>4000</v>
      </c>
      <c r="G744" s="147">
        <f t="shared" si="331"/>
        <v>-2976.0650000000001</v>
      </c>
      <c r="H744" s="114">
        <f>H745</f>
        <v>1023.9349999999999</v>
      </c>
      <c r="I744" s="114">
        <f t="shared" si="347"/>
        <v>1023.9349999999999</v>
      </c>
      <c r="J744" s="114">
        <f t="shared" si="323"/>
        <v>100</v>
      </c>
    </row>
    <row r="745" spans="1:10" s="175" customFormat="1" x14ac:dyDescent="0.2">
      <c r="A745" s="112" t="s">
        <v>85</v>
      </c>
      <c r="B745" s="113" t="s">
        <v>90</v>
      </c>
      <c r="C745" s="113" t="s">
        <v>76</v>
      </c>
      <c r="D745" s="113" t="s">
        <v>570</v>
      </c>
      <c r="E745" s="113" t="s">
        <v>86</v>
      </c>
      <c r="F745" s="114">
        <v>4000</v>
      </c>
      <c r="G745" s="147">
        <f t="shared" si="331"/>
        <v>-2976.0650000000001</v>
      </c>
      <c r="H745" s="114">
        <f>4000-2976.065</f>
        <v>1023.9349999999999</v>
      </c>
      <c r="I745" s="114">
        <v>1023.9349999999999</v>
      </c>
      <c r="J745" s="114">
        <f t="shared" si="323"/>
        <v>100</v>
      </c>
    </row>
    <row r="746" spans="1:10" s="175" customFormat="1" ht="24" x14ac:dyDescent="0.2">
      <c r="A746" s="134" t="s">
        <v>51</v>
      </c>
      <c r="B746" s="104" t="s">
        <v>90</v>
      </c>
      <c r="C746" s="104" t="s">
        <v>76</v>
      </c>
      <c r="D746" s="104" t="s">
        <v>53</v>
      </c>
      <c r="E746" s="104"/>
      <c r="F746" s="105">
        <f t="shared" ref="F746:I749" si="348">F747</f>
        <v>30341.3</v>
      </c>
      <c r="G746" s="147">
        <f t="shared" si="331"/>
        <v>-5350</v>
      </c>
      <c r="H746" s="127">
        <f t="shared" si="348"/>
        <v>24991.3</v>
      </c>
      <c r="I746" s="127">
        <f t="shared" si="348"/>
        <v>24595.600149999998</v>
      </c>
      <c r="J746" s="105">
        <f t="shared" si="323"/>
        <v>98.416649594058725</v>
      </c>
    </row>
    <row r="747" spans="1:10" s="175" customFormat="1" x14ac:dyDescent="0.2">
      <c r="A747" s="134" t="s">
        <v>54</v>
      </c>
      <c r="B747" s="104" t="s">
        <v>90</v>
      </c>
      <c r="C747" s="104" t="s">
        <v>76</v>
      </c>
      <c r="D747" s="104" t="s">
        <v>571</v>
      </c>
      <c r="E747" s="104"/>
      <c r="F747" s="105">
        <f t="shared" si="348"/>
        <v>30341.3</v>
      </c>
      <c r="G747" s="147">
        <f t="shared" si="331"/>
        <v>-5350</v>
      </c>
      <c r="H747" s="127">
        <f t="shared" si="348"/>
        <v>24991.3</v>
      </c>
      <c r="I747" s="127">
        <f t="shared" si="348"/>
        <v>24595.600149999998</v>
      </c>
      <c r="J747" s="105">
        <f t="shared" si="323"/>
        <v>98.416649594058725</v>
      </c>
    </row>
    <row r="748" spans="1:10" s="175" customFormat="1" ht="24" x14ac:dyDescent="0.2">
      <c r="A748" s="152" t="s">
        <v>302</v>
      </c>
      <c r="B748" s="132" t="s">
        <v>90</v>
      </c>
      <c r="C748" s="132" t="s">
        <v>76</v>
      </c>
      <c r="D748" s="132" t="s">
        <v>571</v>
      </c>
      <c r="E748" s="132"/>
      <c r="F748" s="137">
        <f t="shared" si="348"/>
        <v>30341.3</v>
      </c>
      <c r="G748" s="147">
        <f t="shared" si="331"/>
        <v>-5350</v>
      </c>
      <c r="H748" s="204">
        <f t="shared" si="348"/>
        <v>24991.3</v>
      </c>
      <c r="I748" s="204">
        <f t="shared" si="348"/>
        <v>24595.600149999998</v>
      </c>
      <c r="J748" s="137">
        <f t="shared" si="323"/>
        <v>98.416649594058725</v>
      </c>
    </row>
    <row r="749" spans="1:10" s="175" customFormat="1" x14ac:dyDescent="0.2">
      <c r="A749" s="112" t="s">
        <v>104</v>
      </c>
      <c r="B749" s="113" t="s">
        <v>90</v>
      </c>
      <c r="C749" s="113" t="s">
        <v>76</v>
      </c>
      <c r="D749" s="113" t="s">
        <v>571</v>
      </c>
      <c r="E749" s="113" t="s">
        <v>391</v>
      </c>
      <c r="F749" s="114">
        <f t="shared" si="348"/>
        <v>30341.3</v>
      </c>
      <c r="G749" s="147">
        <f t="shared" si="331"/>
        <v>-5350</v>
      </c>
      <c r="H749" s="128">
        <f t="shared" si="348"/>
        <v>24991.3</v>
      </c>
      <c r="I749" s="128">
        <f t="shared" si="348"/>
        <v>24595.600149999998</v>
      </c>
      <c r="J749" s="114">
        <f t="shared" si="323"/>
        <v>98.416649594058725</v>
      </c>
    </row>
    <row r="750" spans="1:10" s="175" customFormat="1" x14ac:dyDescent="0.2">
      <c r="A750" s="112" t="s">
        <v>502</v>
      </c>
      <c r="B750" s="113" t="s">
        <v>90</v>
      </c>
      <c r="C750" s="113" t="s">
        <v>76</v>
      </c>
      <c r="D750" s="113" t="s">
        <v>571</v>
      </c>
      <c r="E750" s="113" t="s">
        <v>503</v>
      </c>
      <c r="F750" s="114">
        <f>25545.1+4796.2</f>
        <v>30341.3</v>
      </c>
      <c r="G750" s="147">
        <f t="shared" si="331"/>
        <v>-5350</v>
      </c>
      <c r="H750" s="128">
        <f>25545.1+4796.2-450-4900</f>
        <v>24991.3</v>
      </c>
      <c r="I750" s="128">
        <v>24595.600149999998</v>
      </c>
      <c r="J750" s="114">
        <f t="shared" ref="J750:J791" si="349">I750/H750*100</f>
        <v>98.416649594058725</v>
      </c>
    </row>
    <row r="751" spans="1:10" s="175" customFormat="1" x14ac:dyDescent="0.2">
      <c r="A751" s="103" t="s">
        <v>183</v>
      </c>
      <c r="B751" s="104" t="s">
        <v>90</v>
      </c>
      <c r="C751" s="104" t="s">
        <v>416</v>
      </c>
      <c r="D751" s="104"/>
      <c r="E751" s="104"/>
      <c r="F751" s="105">
        <f>F752</f>
        <v>3855</v>
      </c>
      <c r="G751" s="147">
        <f t="shared" si="331"/>
        <v>533.87057000000004</v>
      </c>
      <c r="H751" s="105">
        <f>H752+H763</f>
        <v>4388.87057</v>
      </c>
      <c r="I751" s="105">
        <f>I752+I763</f>
        <v>4239.2394199999999</v>
      </c>
      <c r="J751" s="105">
        <f t="shared" si="349"/>
        <v>96.590668427936805</v>
      </c>
    </row>
    <row r="752" spans="1:10" s="175" customFormat="1" ht="27" x14ac:dyDescent="0.2">
      <c r="A752" s="116" t="s">
        <v>567</v>
      </c>
      <c r="B752" s="107" t="s">
        <v>90</v>
      </c>
      <c r="C752" s="107" t="s">
        <v>416</v>
      </c>
      <c r="D752" s="107" t="s">
        <v>52</v>
      </c>
      <c r="E752" s="104"/>
      <c r="F752" s="108">
        <f>F753</f>
        <v>3855</v>
      </c>
      <c r="G752" s="147">
        <f t="shared" si="331"/>
        <v>450</v>
      </c>
      <c r="H752" s="108">
        <f>H753</f>
        <v>4305</v>
      </c>
      <c r="I752" s="108">
        <f t="shared" ref="I752" si="350">I753</f>
        <v>4155.3688499999998</v>
      </c>
      <c r="J752" s="108">
        <f t="shared" si="349"/>
        <v>96.524247386759583</v>
      </c>
    </row>
    <row r="753" spans="1:10" s="175" customFormat="1" x14ac:dyDescent="0.2">
      <c r="A753" s="103" t="s">
        <v>67</v>
      </c>
      <c r="B753" s="104" t="s">
        <v>90</v>
      </c>
      <c r="C753" s="104" t="s">
        <v>416</v>
      </c>
      <c r="D753" s="104" t="s">
        <v>68</v>
      </c>
      <c r="E753" s="104"/>
      <c r="F753" s="105">
        <f>F754+F758</f>
        <v>3855</v>
      </c>
      <c r="G753" s="147">
        <f t="shared" si="331"/>
        <v>450</v>
      </c>
      <c r="H753" s="105">
        <f>H754+H758</f>
        <v>4305</v>
      </c>
      <c r="I753" s="105">
        <f t="shared" ref="I753" si="351">I754+I758</f>
        <v>4155.3688499999998</v>
      </c>
      <c r="J753" s="105">
        <f t="shared" si="349"/>
        <v>96.524247386759583</v>
      </c>
    </row>
    <row r="754" spans="1:10" s="175" customFormat="1" ht="24" x14ac:dyDescent="0.2">
      <c r="A754" s="103" t="s">
        <v>305</v>
      </c>
      <c r="B754" s="104" t="s">
        <v>90</v>
      </c>
      <c r="C754" s="104" t="s">
        <v>416</v>
      </c>
      <c r="D754" s="104" t="s">
        <v>69</v>
      </c>
      <c r="E754" s="104"/>
      <c r="F754" s="105">
        <f>F755</f>
        <v>3770</v>
      </c>
      <c r="G754" s="147">
        <f t="shared" si="331"/>
        <v>450</v>
      </c>
      <c r="H754" s="105">
        <f>H755</f>
        <v>4220</v>
      </c>
      <c r="I754" s="105">
        <f t="shared" ref="I754:I756" si="352">I755</f>
        <v>4084.8198499999999</v>
      </c>
      <c r="J754" s="105">
        <f t="shared" si="349"/>
        <v>96.796678909952604</v>
      </c>
    </row>
    <row r="755" spans="1:10" s="175" customFormat="1" x14ac:dyDescent="0.2">
      <c r="A755" s="138" t="s">
        <v>296</v>
      </c>
      <c r="B755" s="118" t="s">
        <v>90</v>
      </c>
      <c r="C755" s="118" t="s">
        <v>416</v>
      </c>
      <c r="D755" s="118" t="s">
        <v>69</v>
      </c>
      <c r="E755" s="118"/>
      <c r="F755" s="119">
        <f>F756</f>
        <v>3770</v>
      </c>
      <c r="G755" s="147">
        <f t="shared" si="331"/>
        <v>450</v>
      </c>
      <c r="H755" s="119">
        <f>H756</f>
        <v>4220</v>
      </c>
      <c r="I755" s="119">
        <f t="shared" si="352"/>
        <v>4084.8198499999999</v>
      </c>
      <c r="J755" s="105">
        <f t="shared" si="349"/>
        <v>96.796678909952604</v>
      </c>
    </row>
    <row r="756" spans="1:10" s="175" customFormat="1" ht="24" x14ac:dyDescent="0.2">
      <c r="A756" s="112" t="s">
        <v>79</v>
      </c>
      <c r="B756" s="113" t="s">
        <v>90</v>
      </c>
      <c r="C756" s="113" t="s">
        <v>416</v>
      </c>
      <c r="D756" s="113" t="s">
        <v>69</v>
      </c>
      <c r="E756" s="113" t="s">
        <v>80</v>
      </c>
      <c r="F756" s="114">
        <f>F757</f>
        <v>3770</v>
      </c>
      <c r="G756" s="147">
        <f t="shared" si="331"/>
        <v>450</v>
      </c>
      <c r="H756" s="114">
        <f>H757</f>
        <v>4220</v>
      </c>
      <c r="I756" s="114">
        <f t="shared" si="352"/>
        <v>4084.8198499999999</v>
      </c>
      <c r="J756" s="114">
        <f t="shared" si="349"/>
        <v>96.796678909952604</v>
      </c>
    </row>
    <row r="757" spans="1:10" s="175" customFormat="1" x14ac:dyDescent="0.2">
      <c r="A757" s="112" t="s">
        <v>81</v>
      </c>
      <c r="B757" s="113" t="s">
        <v>90</v>
      </c>
      <c r="C757" s="113" t="s">
        <v>416</v>
      </c>
      <c r="D757" s="113" t="s">
        <v>69</v>
      </c>
      <c r="E757" s="113" t="s">
        <v>82</v>
      </c>
      <c r="F757" s="114">
        <f>2830+20+850+10+60</f>
        <v>3770</v>
      </c>
      <c r="G757" s="147">
        <f t="shared" si="331"/>
        <v>450</v>
      </c>
      <c r="H757" s="114">
        <f>2830+20+850+10+60+450</f>
        <v>4220</v>
      </c>
      <c r="I757" s="114">
        <v>4084.8198499999999</v>
      </c>
      <c r="J757" s="114">
        <f t="shared" si="349"/>
        <v>96.796678909952604</v>
      </c>
    </row>
    <row r="758" spans="1:10" s="175" customFormat="1" x14ac:dyDescent="0.2">
      <c r="A758" s="103" t="s">
        <v>83</v>
      </c>
      <c r="B758" s="104" t="s">
        <v>90</v>
      </c>
      <c r="C758" s="104" t="s">
        <v>416</v>
      </c>
      <c r="D758" s="104" t="s">
        <v>70</v>
      </c>
      <c r="E758" s="104"/>
      <c r="F758" s="105">
        <f>F759+F761</f>
        <v>85</v>
      </c>
      <c r="G758" s="147">
        <f t="shared" si="331"/>
        <v>0</v>
      </c>
      <c r="H758" s="105">
        <f>H759+H761</f>
        <v>85</v>
      </c>
      <c r="I758" s="105">
        <f t="shared" ref="I758" si="353">I759+I761</f>
        <v>70.549000000000007</v>
      </c>
      <c r="J758" s="105">
        <f t="shared" si="349"/>
        <v>82.998823529411766</v>
      </c>
    </row>
    <row r="759" spans="1:10" s="175" customFormat="1" x14ac:dyDescent="0.2">
      <c r="A759" s="112" t="s">
        <v>582</v>
      </c>
      <c r="B759" s="113" t="s">
        <v>90</v>
      </c>
      <c r="C759" s="113" t="s">
        <v>416</v>
      </c>
      <c r="D759" s="113" t="s">
        <v>70</v>
      </c>
      <c r="E759" s="113" t="s">
        <v>84</v>
      </c>
      <c r="F759" s="114">
        <f>F760</f>
        <v>75</v>
      </c>
      <c r="G759" s="147">
        <f t="shared" si="331"/>
        <v>0</v>
      </c>
      <c r="H759" s="114">
        <f>H760</f>
        <v>75</v>
      </c>
      <c r="I759" s="114">
        <f t="shared" ref="I759" si="354">I760</f>
        <v>70.549000000000007</v>
      </c>
      <c r="J759" s="114">
        <f t="shared" si="349"/>
        <v>94.065333333333342</v>
      </c>
    </row>
    <row r="760" spans="1:10" s="175" customFormat="1" x14ac:dyDescent="0.2">
      <c r="A760" s="112" t="s">
        <v>85</v>
      </c>
      <c r="B760" s="113" t="s">
        <v>90</v>
      </c>
      <c r="C760" s="113" t="s">
        <v>416</v>
      </c>
      <c r="D760" s="113" t="s">
        <v>70</v>
      </c>
      <c r="E760" s="113" t="s">
        <v>86</v>
      </c>
      <c r="F760" s="114">
        <f>5+10+10+50</f>
        <v>75</v>
      </c>
      <c r="G760" s="147">
        <f t="shared" si="331"/>
        <v>0</v>
      </c>
      <c r="H760" s="114">
        <f>5+10+10+50</f>
        <v>75</v>
      </c>
      <c r="I760" s="114">
        <v>70.549000000000007</v>
      </c>
      <c r="J760" s="114">
        <f t="shared" si="349"/>
        <v>94.065333333333342</v>
      </c>
    </row>
    <row r="761" spans="1:10" s="175" customFormat="1" x14ac:dyDescent="0.2">
      <c r="A761" s="112" t="s">
        <v>87</v>
      </c>
      <c r="B761" s="113" t="s">
        <v>90</v>
      </c>
      <c r="C761" s="113" t="s">
        <v>416</v>
      </c>
      <c r="D761" s="113" t="s">
        <v>70</v>
      </c>
      <c r="E761" s="113" t="s">
        <v>88</v>
      </c>
      <c r="F761" s="114">
        <f>F762</f>
        <v>10</v>
      </c>
      <c r="G761" s="147">
        <f t="shared" si="331"/>
        <v>0</v>
      </c>
      <c r="H761" s="114">
        <f>H762</f>
        <v>10</v>
      </c>
      <c r="I761" s="212">
        <f t="shared" ref="I761" si="355">I762</f>
        <v>0</v>
      </c>
      <c r="J761" s="212">
        <f t="shared" si="349"/>
        <v>0</v>
      </c>
    </row>
    <row r="762" spans="1:10" s="175" customFormat="1" x14ac:dyDescent="0.2">
      <c r="A762" s="112" t="s">
        <v>500</v>
      </c>
      <c r="B762" s="113" t="s">
        <v>90</v>
      </c>
      <c r="C762" s="113" t="s">
        <v>416</v>
      </c>
      <c r="D762" s="113" t="s">
        <v>70</v>
      </c>
      <c r="E762" s="113" t="s">
        <v>89</v>
      </c>
      <c r="F762" s="114">
        <v>10</v>
      </c>
      <c r="G762" s="147">
        <f t="shared" si="331"/>
        <v>0</v>
      </c>
      <c r="H762" s="114">
        <v>10</v>
      </c>
      <c r="I762" s="212">
        <v>0</v>
      </c>
      <c r="J762" s="212">
        <f t="shared" si="349"/>
        <v>0</v>
      </c>
    </row>
    <row r="763" spans="1:10" s="175" customFormat="1" x14ac:dyDescent="0.2">
      <c r="A763" s="117" t="s">
        <v>439</v>
      </c>
      <c r="B763" s="118" t="s">
        <v>90</v>
      </c>
      <c r="C763" s="118" t="s">
        <v>416</v>
      </c>
      <c r="D763" s="118" t="s">
        <v>209</v>
      </c>
      <c r="E763" s="104"/>
      <c r="F763" s="119">
        <f>F764</f>
        <v>195.3</v>
      </c>
      <c r="G763" s="147">
        <f t="shared" ref="G763:G764" si="356">H763-F763</f>
        <v>-111.42943000000001</v>
      </c>
      <c r="H763" s="119">
        <f>H764</f>
        <v>83.870570000000001</v>
      </c>
      <c r="I763" s="119">
        <f>I764</f>
        <v>83.870570000000001</v>
      </c>
      <c r="J763" s="119">
        <f t="shared" si="349"/>
        <v>100</v>
      </c>
    </row>
    <row r="764" spans="1:10" s="175" customFormat="1" x14ac:dyDescent="0.2">
      <c r="A764" s="103" t="s">
        <v>297</v>
      </c>
      <c r="B764" s="104" t="s">
        <v>90</v>
      </c>
      <c r="C764" s="104" t="s">
        <v>416</v>
      </c>
      <c r="D764" s="104" t="s">
        <v>210</v>
      </c>
      <c r="E764" s="104"/>
      <c r="F764" s="105">
        <f>F765</f>
        <v>195.3</v>
      </c>
      <c r="G764" s="147">
        <f t="shared" si="356"/>
        <v>-111.42943000000001</v>
      </c>
      <c r="H764" s="105">
        <f>H765</f>
        <v>83.870570000000001</v>
      </c>
      <c r="I764" s="105">
        <f>I765</f>
        <v>83.870570000000001</v>
      </c>
      <c r="J764" s="105">
        <f t="shared" si="349"/>
        <v>100</v>
      </c>
    </row>
    <row r="765" spans="1:10" s="175" customFormat="1" ht="24" x14ac:dyDescent="0.2">
      <c r="A765" s="117" t="s">
        <v>768</v>
      </c>
      <c r="B765" s="104" t="s">
        <v>90</v>
      </c>
      <c r="C765" s="104" t="s">
        <v>416</v>
      </c>
      <c r="D765" s="118" t="s">
        <v>769</v>
      </c>
      <c r="E765" s="118"/>
      <c r="F765" s="119">
        <f t="shared" ref="F765:I766" si="357">F766</f>
        <v>195.3</v>
      </c>
      <c r="G765" s="119">
        <f t="shared" si="357"/>
        <v>195.3</v>
      </c>
      <c r="H765" s="119">
        <f t="shared" si="357"/>
        <v>83.870570000000001</v>
      </c>
      <c r="I765" s="119">
        <f t="shared" si="357"/>
        <v>83.870570000000001</v>
      </c>
      <c r="J765" s="119">
        <f t="shared" si="349"/>
        <v>100</v>
      </c>
    </row>
    <row r="766" spans="1:10" s="175" customFormat="1" ht="24" x14ac:dyDescent="0.2">
      <c r="A766" s="112" t="s">
        <v>79</v>
      </c>
      <c r="B766" s="113" t="s">
        <v>90</v>
      </c>
      <c r="C766" s="113" t="s">
        <v>416</v>
      </c>
      <c r="D766" s="113" t="s">
        <v>769</v>
      </c>
      <c r="E766" s="113" t="s">
        <v>80</v>
      </c>
      <c r="F766" s="114">
        <f t="shared" si="357"/>
        <v>195.3</v>
      </c>
      <c r="G766" s="114">
        <f t="shared" si="357"/>
        <v>195.3</v>
      </c>
      <c r="H766" s="114">
        <f t="shared" si="357"/>
        <v>83.870570000000001</v>
      </c>
      <c r="I766" s="114">
        <f t="shared" si="357"/>
        <v>83.870570000000001</v>
      </c>
      <c r="J766" s="114">
        <f t="shared" si="349"/>
        <v>100</v>
      </c>
    </row>
    <row r="767" spans="1:10" s="175" customFormat="1" x14ac:dyDescent="0.2">
      <c r="A767" s="112" t="s">
        <v>81</v>
      </c>
      <c r="B767" s="113" t="s">
        <v>90</v>
      </c>
      <c r="C767" s="113" t="s">
        <v>416</v>
      </c>
      <c r="D767" s="113" t="s">
        <v>769</v>
      </c>
      <c r="E767" s="113" t="s">
        <v>82</v>
      </c>
      <c r="F767" s="114">
        <v>195.3</v>
      </c>
      <c r="G767" s="114">
        <v>195.3</v>
      </c>
      <c r="H767" s="114">
        <v>83.870570000000001</v>
      </c>
      <c r="I767" s="114">
        <v>83.870570000000001</v>
      </c>
      <c r="J767" s="114">
        <f t="shared" si="349"/>
        <v>100</v>
      </c>
    </row>
    <row r="768" spans="1:10" s="175" customFormat="1" x14ac:dyDescent="0.2">
      <c r="A768" s="103" t="s">
        <v>382</v>
      </c>
      <c r="B768" s="104" t="s">
        <v>475</v>
      </c>
      <c r="C768" s="104" t="s">
        <v>77</v>
      </c>
      <c r="D768" s="104"/>
      <c r="E768" s="104"/>
      <c r="F768" s="105">
        <f>F769+F781</f>
        <v>9930</v>
      </c>
      <c r="G768" s="147">
        <f t="shared" si="331"/>
        <v>-600</v>
      </c>
      <c r="H768" s="105">
        <f>H769+H781</f>
        <v>9330</v>
      </c>
      <c r="I768" s="147">
        <f t="shared" ref="I768" si="358">I769+I781</f>
        <v>9227.0049999999992</v>
      </c>
      <c r="J768" s="105">
        <f t="shared" si="349"/>
        <v>98.896087888531611</v>
      </c>
    </row>
    <row r="769" spans="1:10" s="175" customFormat="1" x14ac:dyDescent="0.2">
      <c r="A769" s="103" t="s">
        <v>370</v>
      </c>
      <c r="B769" s="104" t="s">
        <v>475</v>
      </c>
      <c r="C769" s="104" t="s">
        <v>76</v>
      </c>
      <c r="D769" s="104" t="s">
        <v>209</v>
      </c>
      <c r="E769" s="104"/>
      <c r="F769" s="105">
        <f>F770</f>
        <v>3320</v>
      </c>
      <c r="G769" s="147">
        <f t="shared" si="331"/>
        <v>-1000</v>
      </c>
      <c r="H769" s="105">
        <f>H770</f>
        <v>2320</v>
      </c>
      <c r="I769" s="105">
        <f t="shared" ref="I769:I771" si="359">I770</f>
        <v>2217.0049999999997</v>
      </c>
      <c r="J769" s="105">
        <f t="shared" si="349"/>
        <v>95.560560344827579</v>
      </c>
    </row>
    <row r="770" spans="1:10" s="175" customFormat="1" x14ac:dyDescent="0.2">
      <c r="A770" s="103" t="s">
        <v>108</v>
      </c>
      <c r="B770" s="104" t="s">
        <v>475</v>
      </c>
      <c r="C770" s="104" t="s">
        <v>76</v>
      </c>
      <c r="D770" s="104" t="s">
        <v>210</v>
      </c>
      <c r="E770" s="104"/>
      <c r="F770" s="105">
        <f>F771</f>
        <v>3320</v>
      </c>
      <c r="G770" s="147">
        <f t="shared" si="331"/>
        <v>-1000</v>
      </c>
      <c r="H770" s="105">
        <f>H771</f>
        <v>2320</v>
      </c>
      <c r="I770" s="105">
        <f t="shared" si="359"/>
        <v>2217.0049999999997</v>
      </c>
      <c r="J770" s="105">
        <f t="shared" si="349"/>
        <v>95.560560344827579</v>
      </c>
    </row>
    <row r="771" spans="1:10" s="175" customFormat="1" x14ac:dyDescent="0.2">
      <c r="A771" s="136" t="s">
        <v>471</v>
      </c>
      <c r="B771" s="132" t="s">
        <v>475</v>
      </c>
      <c r="C771" s="132" t="s">
        <v>76</v>
      </c>
      <c r="D771" s="132" t="s">
        <v>338</v>
      </c>
      <c r="E771" s="132"/>
      <c r="F771" s="137">
        <f>F772</f>
        <v>3320</v>
      </c>
      <c r="G771" s="147">
        <f t="shared" si="331"/>
        <v>-1000</v>
      </c>
      <c r="H771" s="137">
        <f>H772</f>
        <v>2320</v>
      </c>
      <c r="I771" s="137">
        <f t="shared" si="359"/>
        <v>2217.0049999999997</v>
      </c>
      <c r="J771" s="137">
        <f t="shared" si="349"/>
        <v>95.560560344827579</v>
      </c>
    </row>
    <row r="772" spans="1:10" s="175" customFormat="1" x14ac:dyDescent="0.2">
      <c r="A772" s="103" t="s">
        <v>46</v>
      </c>
      <c r="B772" s="104" t="s">
        <v>475</v>
      </c>
      <c r="C772" s="104" t="s">
        <v>76</v>
      </c>
      <c r="D772" s="104" t="s">
        <v>338</v>
      </c>
      <c r="E772" s="104"/>
      <c r="F772" s="105">
        <f>F773+F775+F779</f>
        <v>3320</v>
      </c>
      <c r="G772" s="147">
        <f t="shared" si="331"/>
        <v>-1000</v>
      </c>
      <c r="H772" s="105">
        <f>H773+H775+H777+H779</f>
        <v>2320</v>
      </c>
      <c r="I772" s="105">
        <f t="shared" ref="I772" si="360">I773+I775+I777+I779</f>
        <v>2217.0049999999997</v>
      </c>
      <c r="J772" s="105">
        <f t="shared" si="349"/>
        <v>95.560560344827579</v>
      </c>
    </row>
    <row r="773" spans="1:10" s="175" customFormat="1" ht="24" x14ac:dyDescent="0.2">
      <c r="A773" s="112" t="s">
        <v>79</v>
      </c>
      <c r="B773" s="113" t="s">
        <v>475</v>
      </c>
      <c r="C773" s="113" t="s">
        <v>76</v>
      </c>
      <c r="D773" s="113" t="s">
        <v>338</v>
      </c>
      <c r="E773" s="113" t="s">
        <v>80</v>
      </c>
      <c r="F773" s="114">
        <f>F774</f>
        <v>3264</v>
      </c>
      <c r="G773" s="147">
        <f t="shared" si="331"/>
        <v>-997.55299999999988</v>
      </c>
      <c r="H773" s="114">
        <f>H774</f>
        <v>2266.4470000000001</v>
      </c>
      <c r="I773" s="114">
        <f t="shared" ref="I773" si="361">I774</f>
        <v>2172.808</v>
      </c>
      <c r="J773" s="114">
        <f t="shared" si="349"/>
        <v>95.868467252929364</v>
      </c>
    </row>
    <row r="774" spans="1:10" s="175" customFormat="1" ht="12.75" customHeight="1" x14ac:dyDescent="0.2">
      <c r="A774" s="112" t="s">
        <v>472</v>
      </c>
      <c r="B774" s="113" t="s">
        <v>475</v>
      </c>
      <c r="C774" s="113" t="s">
        <v>76</v>
      </c>
      <c r="D774" s="113" t="s">
        <v>338</v>
      </c>
      <c r="E774" s="113" t="s">
        <v>473</v>
      </c>
      <c r="F774" s="114">
        <f>2420+730+12+102</f>
        <v>3264</v>
      </c>
      <c r="G774" s="147">
        <f t="shared" si="331"/>
        <v>-997.55299999999988</v>
      </c>
      <c r="H774" s="114">
        <f>2420+730+12+102-71.314+28.421-954.66</f>
        <v>2266.4470000000001</v>
      </c>
      <c r="I774" s="114">
        <v>2172.808</v>
      </c>
      <c r="J774" s="114">
        <f t="shared" si="349"/>
        <v>95.868467252929364</v>
      </c>
    </row>
    <row r="775" spans="1:10" s="175" customFormat="1" x14ac:dyDescent="0.2">
      <c r="A775" s="112" t="s">
        <v>294</v>
      </c>
      <c r="B775" s="113" t="s">
        <v>475</v>
      </c>
      <c r="C775" s="113" t="s">
        <v>76</v>
      </c>
      <c r="D775" s="113" t="s">
        <v>338</v>
      </c>
      <c r="E775" s="113" t="s">
        <v>84</v>
      </c>
      <c r="F775" s="114">
        <f>F776</f>
        <v>50</v>
      </c>
      <c r="G775" s="147">
        <f t="shared" ref="G775:G791" si="362">H775-F775</f>
        <v>-45.34</v>
      </c>
      <c r="H775" s="114">
        <f>H776</f>
        <v>4.6599999999999966</v>
      </c>
      <c r="I775" s="114">
        <f t="shared" ref="I775" si="363">I776</f>
        <v>4.66</v>
      </c>
      <c r="J775" s="114">
        <f t="shared" si="349"/>
        <v>100.00000000000007</v>
      </c>
    </row>
    <row r="776" spans="1:10" s="175" customFormat="1" x14ac:dyDescent="0.2">
      <c r="A776" s="112" t="s">
        <v>85</v>
      </c>
      <c r="B776" s="113" t="s">
        <v>475</v>
      </c>
      <c r="C776" s="113" t="s">
        <v>76</v>
      </c>
      <c r="D776" s="113" t="s">
        <v>338</v>
      </c>
      <c r="E776" s="113" t="s">
        <v>86</v>
      </c>
      <c r="F776" s="114">
        <v>50</v>
      </c>
      <c r="G776" s="147">
        <f t="shared" si="362"/>
        <v>-45.34</v>
      </c>
      <c r="H776" s="114">
        <f>50-45.34</f>
        <v>4.6599999999999966</v>
      </c>
      <c r="I776" s="114">
        <v>4.66</v>
      </c>
      <c r="J776" s="114">
        <f t="shared" si="349"/>
        <v>100.00000000000007</v>
      </c>
    </row>
    <row r="777" spans="1:10" s="175" customFormat="1" x14ac:dyDescent="0.2">
      <c r="A777" s="112" t="s">
        <v>95</v>
      </c>
      <c r="B777" s="113" t="s">
        <v>475</v>
      </c>
      <c r="C777" s="113" t="s">
        <v>76</v>
      </c>
      <c r="D777" s="113" t="s">
        <v>338</v>
      </c>
      <c r="E777" s="113" t="s">
        <v>94</v>
      </c>
      <c r="F777" s="114"/>
      <c r="G777" s="147"/>
      <c r="H777" s="114">
        <f>H778</f>
        <v>39.536999999999999</v>
      </c>
      <c r="I777" s="114">
        <f t="shared" ref="I777" si="364">I778</f>
        <v>39.536999999999999</v>
      </c>
      <c r="J777" s="114">
        <f t="shared" si="349"/>
        <v>100</v>
      </c>
    </row>
    <row r="778" spans="1:10" s="175" customFormat="1" x14ac:dyDescent="0.2">
      <c r="A778" s="112" t="s">
        <v>96</v>
      </c>
      <c r="B778" s="113" t="s">
        <v>475</v>
      </c>
      <c r="C778" s="113" t="s">
        <v>76</v>
      </c>
      <c r="D778" s="113" t="s">
        <v>338</v>
      </c>
      <c r="E778" s="113" t="s">
        <v>97</v>
      </c>
      <c r="F778" s="114"/>
      <c r="G778" s="147"/>
      <c r="H778" s="114">
        <v>39.536999999999999</v>
      </c>
      <c r="I778" s="114">
        <v>39.536999999999999</v>
      </c>
      <c r="J778" s="114">
        <f t="shared" si="349"/>
        <v>100</v>
      </c>
    </row>
    <row r="779" spans="1:10" s="175" customFormat="1" x14ac:dyDescent="0.2">
      <c r="A779" s="112" t="s">
        <v>87</v>
      </c>
      <c r="B779" s="113" t="s">
        <v>475</v>
      </c>
      <c r="C779" s="113" t="s">
        <v>76</v>
      </c>
      <c r="D779" s="113" t="s">
        <v>338</v>
      </c>
      <c r="E779" s="113" t="s">
        <v>88</v>
      </c>
      <c r="F779" s="114">
        <f>F780</f>
        <v>6</v>
      </c>
      <c r="G779" s="147">
        <f t="shared" si="362"/>
        <v>3.3559999999999999</v>
      </c>
      <c r="H779" s="114">
        <f>H780</f>
        <v>9.3559999999999999</v>
      </c>
      <c r="I779" s="212">
        <f t="shared" ref="I779" si="365">I780</f>
        <v>0</v>
      </c>
      <c r="J779" s="212">
        <f t="shared" si="349"/>
        <v>0</v>
      </c>
    </row>
    <row r="780" spans="1:10" s="175" customFormat="1" x14ac:dyDescent="0.2">
      <c r="A780" s="112" t="s">
        <v>154</v>
      </c>
      <c r="B780" s="113" t="s">
        <v>475</v>
      </c>
      <c r="C780" s="113" t="s">
        <v>76</v>
      </c>
      <c r="D780" s="113" t="s">
        <v>338</v>
      </c>
      <c r="E780" s="113" t="s">
        <v>89</v>
      </c>
      <c r="F780" s="114">
        <v>6</v>
      </c>
      <c r="G780" s="147">
        <f t="shared" si="362"/>
        <v>3.3559999999999999</v>
      </c>
      <c r="H780" s="114">
        <f>6+0.242+3.114</f>
        <v>9.3559999999999999</v>
      </c>
      <c r="I780" s="212">
        <v>0</v>
      </c>
      <c r="J780" s="212">
        <f t="shared" si="349"/>
        <v>0</v>
      </c>
    </row>
    <row r="781" spans="1:10" s="175" customFormat="1" ht="15.75" x14ac:dyDescent="0.2">
      <c r="A781" s="103" t="s">
        <v>371</v>
      </c>
      <c r="B781" s="104" t="s">
        <v>475</v>
      </c>
      <c r="C781" s="104" t="s">
        <v>477</v>
      </c>
      <c r="D781" s="104" t="s">
        <v>209</v>
      </c>
      <c r="E781" s="110"/>
      <c r="F781" s="105">
        <f>F782</f>
        <v>6610</v>
      </c>
      <c r="G781" s="147">
        <f t="shared" si="362"/>
        <v>400</v>
      </c>
      <c r="H781" s="105">
        <f>H782</f>
        <v>7010</v>
      </c>
      <c r="I781" s="105">
        <f t="shared" ref="I781:I784" si="366">I782</f>
        <v>7010</v>
      </c>
      <c r="J781" s="105">
        <f t="shared" si="349"/>
        <v>100</v>
      </c>
    </row>
    <row r="782" spans="1:10" s="175" customFormat="1" x14ac:dyDescent="0.2">
      <c r="A782" s="103" t="s">
        <v>108</v>
      </c>
      <c r="B782" s="104" t="s">
        <v>475</v>
      </c>
      <c r="C782" s="104" t="s">
        <v>477</v>
      </c>
      <c r="D782" s="104" t="s">
        <v>210</v>
      </c>
      <c r="E782" s="104"/>
      <c r="F782" s="105">
        <f>F783</f>
        <v>6610</v>
      </c>
      <c r="G782" s="147">
        <f t="shared" si="362"/>
        <v>400</v>
      </c>
      <c r="H782" s="105">
        <f>H783</f>
        <v>7010</v>
      </c>
      <c r="I782" s="105">
        <f t="shared" si="366"/>
        <v>7010</v>
      </c>
      <c r="J782" s="105">
        <f t="shared" si="349"/>
        <v>100</v>
      </c>
    </row>
    <row r="783" spans="1:10" s="175" customFormat="1" ht="24" x14ac:dyDescent="0.2">
      <c r="A783" s="103" t="s">
        <v>48</v>
      </c>
      <c r="B783" s="104" t="s">
        <v>475</v>
      </c>
      <c r="C783" s="104" t="s">
        <v>477</v>
      </c>
      <c r="D783" s="104" t="s">
        <v>564</v>
      </c>
      <c r="E783" s="104"/>
      <c r="F783" s="105">
        <f>F784</f>
        <v>6610</v>
      </c>
      <c r="G783" s="147">
        <f t="shared" si="362"/>
        <v>400</v>
      </c>
      <c r="H783" s="105">
        <f>H784</f>
        <v>7010</v>
      </c>
      <c r="I783" s="105">
        <f t="shared" si="366"/>
        <v>7010</v>
      </c>
      <c r="J783" s="105">
        <f t="shared" si="349"/>
        <v>100</v>
      </c>
    </row>
    <row r="784" spans="1:10" s="175" customFormat="1" x14ac:dyDescent="0.2">
      <c r="A784" s="112" t="s">
        <v>104</v>
      </c>
      <c r="B784" s="113" t="s">
        <v>475</v>
      </c>
      <c r="C784" s="113" t="s">
        <v>477</v>
      </c>
      <c r="D784" s="113" t="s">
        <v>564</v>
      </c>
      <c r="E784" s="113" t="s">
        <v>391</v>
      </c>
      <c r="F784" s="114">
        <f>F785</f>
        <v>6610</v>
      </c>
      <c r="G784" s="147">
        <f t="shared" si="362"/>
        <v>400</v>
      </c>
      <c r="H784" s="114">
        <f>H785</f>
        <v>7010</v>
      </c>
      <c r="I784" s="114">
        <f t="shared" si="366"/>
        <v>7010</v>
      </c>
      <c r="J784" s="114">
        <f t="shared" si="349"/>
        <v>100</v>
      </c>
    </row>
    <row r="785" spans="1:10" s="175" customFormat="1" x14ac:dyDescent="0.2">
      <c r="A785" s="112" t="s">
        <v>105</v>
      </c>
      <c r="B785" s="113" t="s">
        <v>475</v>
      </c>
      <c r="C785" s="113" t="s">
        <v>477</v>
      </c>
      <c r="D785" s="113" t="s">
        <v>564</v>
      </c>
      <c r="E785" s="113" t="s">
        <v>409</v>
      </c>
      <c r="F785" s="114">
        <v>6610</v>
      </c>
      <c r="G785" s="147">
        <f t="shared" si="362"/>
        <v>400</v>
      </c>
      <c r="H785" s="114">
        <f>6610+400</f>
        <v>7010</v>
      </c>
      <c r="I785" s="114">
        <v>7010</v>
      </c>
      <c r="J785" s="114">
        <f t="shared" si="349"/>
        <v>100</v>
      </c>
    </row>
    <row r="786" spans="1:10" s="175" customFormat="1" x14ac:dyDescent="0.2">
      <c r="A786" s="103" t="s">
        <v>383</v>
      </c>
      <c r="B786" s="104" t="s">
        <v>93</v>
      </c>
      <c r="C786" s="104" t="s">
        <v>77</v>
      </c>
      <c r="D786" s="104"/>
      <c r="E786" s="104"/>
      <c r="F786" s="105">
        <f>F787</f>
        <v>115000</v>
      </c>
      <c r="G786" s="147">
        <f t="shared" si="362"/>
        <v>-50359.399999999994</v>
      </c>
      <c r="H786" s="105">
        <f>H787</f>
        <v>64640.600000000006</v>
      </c>
      <c r="I786" s="147">
        <f t="shared" ref="I786:I790" si="367">I787</f>
        <v>63700.364379999999</v>
      </c>
      <c r="J786" s="105">
        <f t="shared" si="349"/>
        <v>98.545441069544509</v>
      </c>
    </row>
    <row r="787" spans="1:10" s="175" customFormat="1" x14ac:dyDescent="0.2">
      <c r="A787" s="103" t="s">
        <v>297</v>
      </c>
      <c r="B787" s="104" t="s">
        <v>93</v>
      </c>
      <c r="C787" s="104" t="s">
        <v>76</v>
      </c>
      <c r="D787" s="135" t="s">
        <v>210</v>
      </c>
      <c r="E787" s="104"/>
      <c r="F787" s="105">
        <f>F788</f>
        <v>115000</v>
      </c>
      <c r="G787" s="147">
        <f t="shared" si="362"/>
        <v>-50359.399999999994</v>
      </c>
      <c r="H787" s="105">
        <f>H788</f>
        <v>64640.600000000006</v>
      </c>
      <c r="I787" s="105">
        <f t="shared" si="367"/>
        <v>63700.364379999999</v>
      </c>
      <c r="J787" s="105">
        <f t="shared" si="349"/>
        <v>98.545441069544509</v>
      </c>
    </row>
    <row r="788" spans="1:10" s="175" customFormat="1" ht="15" customHeight="1" x14ac:dyDescent="0.2">
      <c r="A788" s="103" t="s">
        <v>412</v>
      </c>
      <c r="B788" s="104" t="s">
        <v>93</v>
      </c>
      <c r="C788" s="104" t="s">
        <v>76</v>
      </c>
      <c r="D788" s="104" t="s">
        <v>652</v>
      </c>
      <c r="E788" s="110"/>
      <c r="F788" s="105">
        <f>F789</f>
        <v>115000</v>
      </c>
      <c r="G788" s="147">
        <f t="shared" si="362"/>
        <v>-50359.399999999994</v>
      </c>
      <c r="H788" s="105">
        <f>H789</f>
        <v>64640.600000000006</v>
      </c>
      <c r="I788" s="105">
        <f t="shared" si="367"/>
        <v>63700.364379999999</v>
      </c>
      <c r="J788" s="105">
        <f t="shared" si="349"/>
        <v>98.545441069544509</v>
      </c>
    </row>
    <row r="789" spans="1:10" s="175" customFormat="1" x14ac:dyDescent="0.2">
      <c r="A789" s="136" t="s">
        <v>309</v>
      </c>
      <c r="B789" s="132" t="s">
        <v>93</v>
      </c>
      <c r="C789" s="132" t="s">
        <v>76</v>
      </c>
      <c r="D789" s="153" t="s">
        <v>652</v>
      </c>
      <c r="E789" s="132"/>
      <c r="F789" s="137">
        <f>F790</f>
        <v>115000</v>
      </c>
      <c r="G789" s="147">
        <f t="shared" si="362"/>
        <v>-50359.399999999994</v>
      </c>
      <c r="H789" s="137">
        <f>H790</f>
        <v>64640.600000000006</v>
      </c>
      <c r="I789" s="137">
        <f t="shared" si="367"/>
        <v>63700.364379999999</v>
      </c>
      <c r="J789" s="137">
        <f t="shared" si="349"/>
        <v>98.545441069544509</v>
      </c>
    </row>
    <row r="790" spans="1:10" s="175" customFormat="1" x14ac:dyDescent="0.2">
      <c r="A790" s="112" t="s">
        <v>298</v>
      </c>
      <c r="B790" s="113" t="s">
        <v>93</v>
      </c>
      <c r="C790" s="113" t="s">
        <v>76</v>
      </c>
      <c r="D790" s="113" t="s">
        <v>652</v>
      </c>
      <c r="E790" s="113" t="s">
        <v>299</v>
      </c>
      <c r="F790" s="114">
        <f>F791</f>
        <v>115000</v>
      </c>
      <c r="G790" s="147">
        <f t="shared" si="362"/>
        <v>-50359.399999999994</v>
      </c>
      <c r="H790" s="114">
        <f>H791</f>
        <v>64640.600000000006</v>
      </c>
      <c r="I790" s="114">
        <f t="shared" si="367"/>
        <v>63700.364379999999</v>
      </c>
      <c r="J790" s="114">
        <f t="shared" si="349"/>
        <v>98.545441069544509</v>
      </c>
    </row>
    <row r="791" spans="1:10" s="175" customFormat="1" x14ac:dyDescent="0.2">
      <c r="A791" s="112" t="s">
        <v>300</v>
      </c>
      <c r="B791" s="113" t="s">
        <v>93</v>
      </c>
      <c r="C791" s="113" t="s">
        <v>76</v>
      </c>
      <c r="D791" s="113" t="s">
        <v>652</v>
      </c>
      <c r="E791" s="113" t="s">
        <v>397</v>
      </c>
      <c r="F791" s="114">
        <v>115000</v>
      </c>
      <c r="G791" s="147">
        <f t="shared" si="362"/>
        <v>-50359.399999999994</v>
      </c>
      <c r="H791" s="114">
        <f>115000-1859.4-1921.708-46578.292</f>
        <v>64640.600000000006</v>
      </c>
      <c r="I791" s="114">
        <v>63700.364379999999</v>
      </c>
      <c r="J791" s="114">
        <f t="shared" si="349"/>
        <v>98.545441069544509</v>
      </c>
    </row>
    <row r="792" spans="1:10" x14ac:dyDescent="0.2">
      <c r="A792" s="47"/>
      <c r="B792" s="9"/>
      <c r="C792" s="9"/>
      <c r="D792" s="9"/>
      <c r="E792" s="9"/>
    </row>
    <row r="793" spans="1:10" ht="12" customHeight="1" x14ac:dyDescent="0.25">
      <c r="A793" s="173" t="s">
        <v>968</v>
      </c>
      <c r="B793" s="9"/>
      <c r="C793" s="9"/>
      <c r="D793" s="9"/>
      <c r="E793" s="9"/>
    </row>
    <row r="794" spans="1:10" x14ac:dyDescent="0.2">
      <c r="A794" s="47"/>
      <c r="B794" s="9"/>
      <c r="C794" s="9"/>
      <c r="D794" s="9"/>
      <c r="E794" s="9"/>
    </row>
    <row r="795" spans="1:10" x14ac:dyDescent="0.2">
      <c r="A795" s="47"/>
      <c r="B795" s="9"/>
      <c r="C795" s="9"/>
      <c r="D795" s="9"/>
      <c r="E795" s="9"/>
    </row>
    <row r="796" spans="1:10" x14ac:dyDescent="0.2">
      <c r="A796" s="47"/>
      <c r="B796" s="9"/>
      <c r="C796" s="9"/>
      <c r="D796" s="9"/>
      <c r="E796" s="9"/>
    </row>
    <row r="797" spans="1:10" x14ac:dyDescent="0.2">
      <c r="A797" s="47"/>
      <c r="B797" s="9"/>
      <c r="C797" s="9"/>
      <c r="D797" s="9"/>
      <c r="E797" s="9"/>
    </row>
    <row r="798" spans="1:10" x14ac:dyDescent="0.2">
      <c r="A798" s="47"/>
      <c r="B798" s="9"/>
      <c r="C798" s="9"/>
      <c r="D798" s="9"/>
      <c r="E798" s="9"/>
    </row>
    <row r="799" spans="1:10" x14ac:dyDescent="0.2">
      <c r="A799" s="47"/>
      <c r="B799" s="9"/>
      <c r="C799" s="9"/>
      <c r="D799" s="9"/>
      <c r="E799" s="9"/>
    </row>
    <row r="800" spans="1:10" x14ac:dyDescent="0.2">
      <c r="A800" s="47"/>
      <c r="B800" s="9"/>
      <c r="C800" s="9"/>
      <c r="D800" s="9"/>
      <c r="E800" s="9"/>
    </row>
    <row r="801" spans="1:5" x14ac:dyDescent="0.2">
      <c r="A801" s="47"/>
      <c r="B801" s="9"/>
      <c r="C801" s="9"/>
      <c r="D801" s="9"/>
      <c r="E801" s="9"/>
    </row>
    <row r="802" spans="1:5" x14ac:dyDescent="0.2">
      <c r="A802" s="47"/>
      <c r="B802" s="9"/>
      <c r="C802" s="9"/>
      <c r="D802" s="9"/>
      <c r="E802" s="9"/>
    </row>
    <row r="803" spans="1:5" x14ac:dyDescent="0.2">
      <c r="A803" s="47"/>
      <c r="B803" s="9"/>
      <c r="C803" s="9"/>
      <c r="D803" s="9"/>
      <c r="E803" s="9"/>
    </row>
    <row r="804" spans="1:5" x14ac:dyDescent="0.2">
      <c r="A804" s="47"/>
      <c r="B804" s="9"/>
      <c r="C804" s="9"/>
      <c r="D804" s="9"/>
      <c r="E804" s="9"/>
    </row>
    <row r="805" spans="1:5" x14ac:dyDescent="0.2">
      <c r="A805" s="47"/>
      <c r="B805" s="9"/>
      <c r="C805" s="9"/>
      <c r="D805" s="9"/>
      <c r="E805" s="9"/>
    </row>
    <row r="806" spans="1:5" x14ac:dyDescent="0.2">
      <c r="A806" s="47"/>
      <c r="B806" s="9"/>
      <c r="C806" s="9"/>
      <c r="D806" s="9"/>
      <c r="E806" s="9"/>
    </row>
    <row r="807" spans="1:5" x14ac:dyDescent="0.2">
      <c r="A807" s="47"/>
      <c r="B807" s="9"/>
      <c r="C807" s="9"/>
      <c r="D807" s="9"/>
      <c r="E807" s="9"/>
    </row>
    <row r="808" spans="1:5" x14ac:dyDescent="0.2">
      <c r="A808" s="47"/>
      <c r="B808" s="9"/>
      <c r="C808" s="9"/>
      <c r="D808" s="9"/>
      <c r="E808" s="9"/>
    </row>
    <row r="809" spans="1:5" x14ac:dyDescent="0.2">
      <c r="A809" s="47"/>
      <c r="B809" s="9"/>
      <c r="C809" s="9"/>
      <c r="D809" s="9"/>
      <c r="E809" s="9"/>
    </row>
    <row r="810" spans="1:5" x14ac:dyDescent="0.2">
      <c r="A810" s="47"/>
      <c r="B810" s="9"/>
      <c r="C810" s="9"/>
      <c r="D810" s="9"/>
      <c r="E810" s="9"/>
    </row>
    <row r="811" spans="1:5" x14ac:dyDescent="0.2">
      <c r="A811" s="47"/>
      <c r="B811" s="9"/>
      <c r="C811" s="9"/>
      <c r="D811" s="9"/>
      <c r="E811" s="9"/>
    </row>
    <row r="812" spans="1:5" x14ac:dyDescent="0.2">
      <c r="A812" s="47"/>
      <c r="B812" s="9"/>
      <c r="C812" s="9"/>
      <c r="D812" s="9"/>
      <c r="E812" s="9"/>
    </row>
    <row r="813" spans="1:5" x14ac:dyDescent="0.2">
      <c r="A813" s="47"/>
      <c r="B813" s="9"/>
      <c r="C813" s="9"/>
      <c r="D813" s="9"/>
      <c r="E813" s="9"/>
    </row>
    <row r="814" spans="1:5" x14ac:dyDescent="0.2">
      <c r="A814" s="47"/>
      <c r="B814" s="9"/>
      <c r="C814" s="9"/>
      <c r="D814" s="9"/>
      <c r="E814" s="9"/>
    </row>
    <row r="815" spans="1:5" x14ac:dyDescent="0.2">
      <c r="A815" s="47"/>
      <c r="B815" s="9"/>
      <c r="C815" s="9"/>
      <c r="D815" s="9"/>
      <c r="E815" s="9"/>
    </row>
    <row r="816" spans="1:5" x14ac:dyDescent="0.2">
      <c r="A816" s="47"/>
      <c r="B816" s="9"/>
      <c r="C816" s="9"/>
      <c r="D816" s="9"/>
      <c r="E816" s="9"/>
    </row>
    <row r="817" spans="1:5" x14ac:dyDescent="0.2">
      <c r="A817" s="47"/>
      <c r="B817" s="9"/>
      <c r="C817" s="9"/>
      <c r="D817" s="9"/>
      <c r="E817" s="9"/>
    </row>
    <row r="818" spans="1:5" x14ac:dyDescent="0.2">
      <c r="A818" s="47"/>
      <c r="B818" s="9"/>
      <c r="C818" s="9"/>
      <c r="D818" s="9"/>
      <c r="E818" s="9"/>
    </row>
    <row r="819" spans="1:5" x14ac:dyDescent="0.2">
      <c r="A819" s="47"/>
      <c r="B819" s="9"/>
      <c r="C819" s="9"/>
      <c r="D819" s="9"/>
      <c r="E819" s="9"/>
    </row>
    <row r="820" spans="1:5" x14ac:dyDescent="0.2">
      <c r="A820" s="47"/>
      <c r="B820" s="9"/>
      <c r="C820" s="9"/>
      <c r="D820" s="9"/>
      <c r="E820" s="9"/>
    </row>
    <row r="821" spans="1:5" x14ac:dyDescent="0.2">
      <c r="A821" s="47"/>
      <c r="B821" s="9"/>
      <c r="C821" s="9"/>
      <c r="D821" s="9"/>
      <c r="E821" s="9"/>
    </row>
    <row r="822" spans="1:5" x14ac:dyDescent="0.2">
      <c r="A822" s="47"/>
      <c r="B822" s="9"/>
      <c r="C822" s="9"/>
      <c r="D822" s="9"/>
      <c r="E822" s="9"/>
    </row>
    <row r="823" spans="1:5" x14ac:dyDescent="0.2">
      <c r="A823" s="47"/>
      <c r="B823" s="9"/>
      <c r="C823" s="9"/>
      <c r="D823" s="9"/>
      <c r="E823" s="9"/>
    </row>
    <row r="824" spans="1:5" x14ac:dyDescent="0.2">
      <c r="A824" s="47"/>
      <c r="B824" s="9"/>
      <c r="C824" s="9"/>
      <c r="D824" s="9"/>
      <c r="E824" s="9"/>
    </row>
    <row r="825" spans="1:5" x14ac:dyDescent="0.2">
      <c r="A825" s="47"/>
      <c r="B825" s="9"/>
      <c r="C825" s="9"/>
      <c r="D825" s="9"/>
      <c r="E825" s="9"/>
    </row>
    <row r="826" spans="1:5" x14ac:dyDescent="0.2">
      <c r="A826" s="47"/>
      <c r="B826" s="9"/>
      <c r="C826" s="9"/>
      <c r="D826" s="9"/>
      <c r="E826" s="9"/>
    </row>
    <row r="827" spans="1:5" x14ac:dyDescent="0.2">
      <c r="A827" s="47"/>
      <c r="B827" s="9"/>
      <c r="C827" s="9"/>
      <c r="D827" s="9"/>
      <c r="E827" s="9"/>
    </row>
    <row r="828" spans="1:5" x14ac:dyDescent="0.2">
      <c r="A828" s="47"/>
      <c r="B828" s="9"/>
      <c r="C828" s="9"/>
      <c r="D828" s="9"/>
      <c r="E828" s="9"/>
    </row>
    <row r="829" spans="1:5" x14ac:dyDescent="0.2">
      <c r="A829" s="47"/>
      <c r="B829" s="9"/>
      <c r="C829" s="9"/>
      <c r="D829" s="9"/>
      <c r="E829" s="9"/>
    </row>
    <row r="830" spans="1:5" x14ac:dyDescent="0.2">
      <c r="A830" s="47"/>
      <c r="B830" s="9"/>
      <c r="C830" s="9"/>
      <c r="D830" s="9"/>
      <c r="E830" s="9"/>
    </row>
    <row r="831" spans="1:5" x14ac:dyDescent="0.2">
      <c r="A831" s="47"/>
      <c r="B831" s="9"/>
      <c r="C831" s="9"/>
      <c r="D831" s="9"/>
      <c r="E831" s="9"/>
    </row>
    <row r="832" spans="1:5" x14ac:dyDescent="0.2">
      <c r="A832" s="47"/>
      <c r="B832" s="9"/>
      <c r="C832" s="9"/>
      <c r="D832" s="9"/>
      <c r="E832" s="9"/>
    </row>
    <row r="833" spans="1:5" x14ac:dyDescent="0.2">
      <c r="A833" s="47"/>
      <c r="B833" s="9"/>
      <c r="C833" s="9"/>
      <c r="D833" s="9"/>
      <c r="E833" s="9"/>
    </row>
    <row r="834" spans="1:5" x14ac:dyDescent="0.2">
      <c r="A834" s="47"/>
      <c r="B834" s="9"/>
      <c r="C834" s="9"/>
      <c r="D834" s="9"/>
      <c r="E834" s="9"/>
    </row>
    <row r="835" spans="1:5" x14ac:dyDescent="0.2">
      <c r="A835" s="47"/>
      <c r="B835" s="9"/>
      <c r="C835" s="9"/>
      <c r="D835" s="9"/>
      <c r="E835" s="9"/>
    </row>
    <row r="836" spans="1:5" x14ac:dyDescent="0.2">
      <c r="A836" s="47"/>
      <c r="B836" s="9"/>
      <c r="C836" s="9"/>
      <c r="D836" s="9"/>
      <c r="E836" s="9"/>
    </row>
    <row r="837" spans="1:5" x14ac:dyDescent="0.2">
      <c r="A837" s="47"/>
      <c r="B837" s="9"/>
      <c r="C837" s="9"/>
      <c r="D837" s="9"/>
      <c r="E837" s="9"/>
    </row>
    <row r="838" spans="1:5" x14ac:dyDescent="0.2">
      <c r="A838" s="47"/>
      <c r="B838" s="9"/>
      <c r="C838" s="9"/>
      <c r="D838" s="9"/>
      <c r="E838" s="9"/>
    </row>
    <row r="839" spans="1:5" x14ac:dyDescent="0.2">
      <c r="A839" s="47"/>
      <c r="B839" s="9"/>
      <c r="C839" s="9"/>
      <c r="D839" s="9"/>
      <c r="E839" s="9"/>
    </row>
    <row r="840" spans="1:5" x14ac:dyDescent="0.2">
      <c r="A840" s="47"/>
      <c r="B840" s="9"/>
      <c r="C840" s="9"/>
      <c r="D840" s="9"/>
      <c r="E840" s="9"/>
    </row>
    <row r="841" spans="1:5" x14ac:dyDescent="0.2">
      <c r="A841" s="47"/>
      <c r="B841" s="9"/>
      <c r="C841" s="9"/>
      <c r="D841" s="9"/>
      <c r="E841" s="9"/>
    </row>
    <row r="842" spans="1:5" x14ac:dyDescent="0.2">
      <c r="A842" s="47"/>
      <c r="B842" s="9"/>
      <c r="C842" s="9"/>
      <c r="D842" s="9"/>
      <c r="E842" s="9"/>
    </row>
    <row r="843" spans="1:5" x14ac:dyDescent="0.2">
      <c r="A843" s="47"/>
      <c r="B843" s="9"/>
      <c r="C843" s="9"/>
      <c r="D843" s="9"/>
      <c r="E843" s="9"/>
    </row>
    <row r="844" spans="1:5" x14ac:dyDescent="0.2">
      <c r="A844" s="47"/>
      <c r="B844" s="9"/>
      <c r="C844" s="9"/>
      <c r="D844" s="9"/>
      <c r="E844" s="9"/>
    </row>
    <row r="845" spans="1:5" x14ac:dyDescent="0.2">
      <c r="A845" s="47"/>
      <c r="B845" s="9"/>
      <c r="C845" s="9"/>
      <c r="D845" s="9"/>
      <c r="E845" s="9"/>
    </row>
    <row r="846" spans="1:5" x14ac:dyDescent="0.2">
      <c r="A846" s="47"/>
      <c r="B846" s="9"/>
      <c r="C846" s="9"/>
      <c r="D846" s="9"/>
      <c r="E846" s="9"/>
    </row>
    <row r="847" spans="1:5" x14ac:dyDescent="0.2">
      <c r="A847" s="47"/>
      <c r="B847" s="9"/>
      <c r="C847" s="9"/>
      <c r="D847" s="9"/>
      <c r="E847" s="9"/>
    </row>
    <row r="848" spans="1:5" x14ac:dyDescent="0.2">
      <c r="A848" s="47"/>
      <c r="B848" s="9"/>
      <c r="C848" s="9"/>
      <c r="D848" s="9"/>
      <c r="E848" s="9"/>
    </row>
    <row r="849" spans="1:5" x14ac:dyDescent="0.2">
      <c r="A849" s="47"/>
      <c r="B849" s="9"/>
      <c r="C849" s="9"/>
      <c r="D849" s="9"/>
      <c r="E849" s="9"/>
    </row>
    <row r="850" spans="1:5" x14ac:dyDescent="0.2">
      <c r="A850" s="47"/>
      <c r="B850" s="9"/>
      <c r="C850" s="9"/>
      <c r="D850" s="9"/>
      <c r="E850" s="9"/>
    </row>
    <row r="851" spans="1:5" x14ac:dyDescent="0.2">
      <c r="A851" s="47"/>
      <c r="B851" s="9"/>
      <c r="C851" s="9"/>
      <c r="D851" s="9"/>
      <c r="E851" s="9"/>
    </row>
    <row r="852" spans="1:5" x14ac:dyDescent="0.2">
      <c r="A852" s="47"/>
      <c r="B852" s="9"/>
      <c r="C852" s="9"/>
      <c r="D852" s="9"/>
      <c r="E852" s="9"/>
    </row>
    <row r="853" spans="1:5" x14ac:dyDescent="0.2">
      <c r="A853" s="47"/>
      <c r="B853" s="9"/>
      <c r="C853" s="9"/>
      <c r="D853" s="9"/>
      <c r="E853" s="9"/>
    </row>
    <row r="854" spans="1:5" x14ac:dyDescent="0.2">
      <c r="A854" s="47"/>
      <c r="B854" s="9"/>
      <c r="C854" s="9"/>
      <c r="D854" s="9"/>
      <c r="E854" s="9"/>
    </row>
    <row r="855" spans="1:5" x14ac:dyDescent="0.2">
      <c r="A855" s="47"/>
      <c r="B855" s="9"/>
      <c r="C855" s="9"/>
      <c r="D855" s="9"/>
      <c r="E855" s="9"/>
    </row>
    <row r="856" spans="1:5" x14ac:dyDescent="0.2">
      <c r="A856" s="47"/>
      <c r="B856" s="9"/>
      <c r="C856" s="9"/>
      <c r="D856" s="9"/>
      <c r="E856" s="9"/>
    </row>
    <row r="857" spans="1:5" x14ac:dyDescent="0.2">
      <c r="A857" s="47"/>
      <c r="B857" s="9"/>
      <c r="C857" s="9"/>
      <c r="D857" s="9"/>
      <c r="E857" s="9"/>
    </row>
    <row r="858" spans="1:5" x14ac:dyDescent="0.2">
      <c r="A858" s="47"/>
      <c r="B858" s="9"/>
      <c r="C858" s="9"/>
      <c r="D858" s="9"/>
      <c r="E858" s="9"/>
    </row>
    <row r="859" spans="1:5" x14ac:dyDescent="0.2">
      <c r="A859" s="47"/>
      <c r="B859" s="9"/>
      <c r="C859" s="9"/>
      <c r="D859" s="9"/>
      <c r="E859" s="9"/>
    </row>
    <row r="860" spans="1:5" x14ac:dyDescent="0.2">
      <c r="A860" s="47"/>
      <c r="B860" s="9"/>
      <c r="C860" s="9"/>
      <c r="D860" s="9"/>
      <c r="E860" s="9"/>
    </row>
    <row r="861" spans="1:5" x14ac:dyDescent="0.2">
      <c r="A861" s="47"/>
      <c r="B861" s="9"/>
      <c r="C861" s="9"/>
      <c r="D861" s="9"/>
      <c r="E861" s="9"/>
    </row>
    <row r="862" spans="1:5" x14ac:dyDescent="0.2">
      <c r="A862" s="47"/>
      <c r="B862" s="9"/>
      <c r="C862" s="9"/>
      <c r="D862" s="9"/>
      <c r="E862" s="9"/>
    </row>
    <row r="863" spans="1:5" x14ac:dyDescent="0.2">
      <c r="A863" s="47"/>
      <c r="B863" s="9"/>
      <c r="C863" s="9"/>
      <c r="D863" s="9"/>
      <c r="E863" s="9"/>
    </row>
    <row r="864" spans="1:5" x14ac:dyDescent="0.2">
      <c r="A864" s="47"/>
      <c r="B864" s="9"/>
      <c r="C864" s="9"/>
      <c r="D864" s="9"/>
      <c r="E864" s="9"/>
    </row>
    <row r="865" spans="1:5" x14ac:dyDescent="0.2">
      <c r="A865" s="47"/>
      <c r="B865" s="9"/>
      <c r="C865" s="9"/>
      <c r="D865" s="9"/>
      <c r="E865" s="9"/>
    </row>
    <row r="866" spans="1:5" x14ac:dyDescent="0.2">
      <c r="A866" s="47"/>
      <c r="B866" s="9"/>
      <c r="C866" s="9"/>
      <c r="D866" s="9"/>
      <c r="E866" s="9"/>
    </row>
    <row r="867" spans="1:5" x14ac:dyDescent="0.2">
      <c r="A867" s="47"/>
      <c r="B867" s="9"/>
      <c r="C867" s="9"/>
      <c r="D867" s="9"/>
      <c r="E867" s="9"/>
    </row>
    <row r="868" spans="1:5" x14ac:dyDescent="0.2">
      <c r="A868" s="47"/>
      <c r="B868" s="9"/>
      <c r="C868" s="9"/>
      <c r="D868" s="9"/>
      <c r="E868" s="9"/>
    </row>
    <row r="869" spans="1:5" x14ac:dyDescent="0.2">
      <c r="A869" s="47"/>
      <c r="B869" s="9"/>
      <c r="C869" s="9"/>
      <c r="D869" s="9"/>
      <c r="E869" s="9"/>
    </row>
    <row r="870" spans="1:5" x14ac:dyDescent="0.2">
      <c r="A870" s="47"/>
      <c r="B870" s="9"/>
      <c r="C870" s="9"/>
      <c r="D870" s="9"/>
      <c r="E870" s="9"/>
    </row>
    <row r="871" spans="1:5" x14ac:dyDescent="0.2">
      <c r="A871" s="47"/>
      <c r="B871" s="9"/>
      <c r="C871" s="9"/>
      <c r="D871" s="9"/>
      <c r="E871" s="9"/>
    </row>
    <row r="872" spans="1:5" x14ac:dyDescent="0.2">
      <c r="A872" s="47"/>
      <c r="B872" s="9"/>
      <c r="C872" s="9"/>
      <c r="D872" s="9"/>
      <c r="E872" s="9"/>
    </row>
    <row r="873" spans="1:5" x14ac:dyDescent="0.2">
      <c r="A873" s="47"/>
      <c r="B873" s="9"/>
      <c r="C873" s="9"/>
      <c r="D873" s="9"/>
      <c r="E873" s="9"/>
    </row>
    <row r="874" spans="1:5" x14ac:dyDescent="0.2">
      <c r="A874" s="47"/>
      <c r="B874" s="9"/>
      <c r="C874" s="9"/>
      <c r="D874" s="9"/>
      <c r="E874" s="9"/>
    </row>
    <row r="875" spans="1:5" x14ac:dyDescent="0.2">
      <c r="A875" s="47"/>
      <c r="B875" s="9"/>
      <c r="C875" s="9"/>
      <c r="D875" s="9"/>
      <c r="E875" s="9"/>
    </row>
    <row r="876" spans="1:5" x14ac:dyDescent="0.2">
      <c r="A876" s="47"/>
      <c r="B876" s="9"/>
      <c r="C876" s="9"/>
      <c r="D876" s="9"/>
      <c r="E876" s="9"/>
    </row>
    <row r="877" spans="1:5" x14ac:dyDescent="0.2">
      <c r="A877" s="47"/>
      <c r="B877" s="9"/>
      <c r="C877" s="9"/>
      <c r="D877" s="9"/>
      <c r="E877" s="9"/>
    </row>
    <row r="878" spans="1:5" x14ac:dyDescent="0.2">
      <c r="A878" s="47"/>
      <c r="B878" s="9"/>
      <c r="C878" s="9"/>
      <c r="D878" s="9"/>
      <c r="E878" s="9"/>
    </row>
    <row r="879" spans="1:5" x14ac:dyDescent="0.2">
      <c r="A879" s="47"/>
      <c r="B879" s="9"/>
      <c r="C879" s="9"/>
      <c r="D879" s="9"/>
      <c r="E879" s="9"/>
    </row>
    <row r="880" spans="1:5" x14ac:dyDescent="0.2">
      <c r="A880" s="47"/>
      <c r="B880" s="9"/>
      <c r="C880" s="9"/>
      <c r="D880" s="9"/>
      <c r="E880" s="9"/>
    </row>
    <row r="881" spans="1:5" x14ac:dyDescent="0.2">
      <c r="A881" s="47"/>
      <c r="B881" s="9"/>
      <c r="C881" s="9"/>
      <c r="D881" s="9"/>
      <c r="E881" s="9"/>
    </row>
    <row r="882" spans="1:5" x14ac:dyDescent="0.2">
      <c r="A882" s="47"/>
      <c r="B882" s="9"/>
      <c r="C882" s="9"/>
      <c r="D882" s="9"/>
      <c r="E882" s="9"/>
    </row>
    <row r="883" spans="1:5" x14ac:dyDescent="0.2">
      <c r="A883" s="47"/>
      <c r="B883" s="9"/>
      <c r="C883" s="9"/>
      <c r="D883" s="9"/>
      <c r="E883" s="9"/>
    </row>
    <row r="884" spans="1:5" x14ac:dyDescent="0.2">
      <c r="A884" s="47"/>
      <c r="B884" s="9"/>
      <c r="C884" s="9"/>
      <c r="D884" s="9"/>
      <c r="E884" s="9"/>
    </row>
    <row r="885" spans="1:5" x14ac:dyDescent="0.2">
      <c r="A885" s="47"/>
      <c r="B885" s="9"/>
      <c r="C885" s="9"/>
      <c r="D885" s="9"/>
      <c r="E885" s="9"/>
    </row>
    <row r="886" spans="1:5" x14ac:dyDescent="0.2">
      <c r="A886" s="47"/>
      <c r="B886" s="9"/>
      <c r="C886" s="9"/>
      <c r="D886" s="9"/>
      <c r="E886" s="9"/>
    </row>
    <row r="887" spans="1:5" x14ac:dyDescent="0.2">
      <c r="A887" s="47"/>
      <c r="B887" s="9"/>
      <c r="C887" s="9"/>
      <c r="D887" s="9"/>
      <c r="E887" s="9"/>
    </row>
    <row r="888" spans="1:5" x14ac:dyDescent="0.2">
      <c r="A888" s="47"/>
      <c r="B888" s="9"/>
      <c r="C888" s="9"/>
      <c r="D888" s="9"/>
      <c r="E888" s="9"/>
    </row>
    <row r="889" spans="1:5" x14ac:dyDescent="0.2">
      <c r="A889" s="47"/>
      <c r="B889" s="9"/>
      <c r="C889" s="9"/>
      <c r="D889" s="9"/>
      <c r="E889" s="9"/>
    </row>
    <row r="890" spans="1:5" x14ac:dyDescent="0.2">
      <c r="A890" s="47"/>
      <c r="B890" s="9"/>
      <c r="C890" s="9"/>
      <c r="D890" s="9"/>
      <c r="E890" s="9"/>
    </row>
    <row r="891" spans="1:5" x14ac:dyDescent="0.2">
      <c r="A891" s="47"/>
      <c r="B891" s="9"/>
      <c r="C891" s="9"/>
      <c r="D891" s="9"/>
      <c r="E891" s="9"/>
    </row>
    <row r="892" spans="1:5" x14ac:dyDescent="0.2">
      <c r="A892" s="47"/>
      <c r="B892" s="9"/>
      <c r="C892" s="9"/>
      <c r="D892" s="9"/>
      <c r="E892" s="9"/>
    </row>
    <row r="893" spans="1:5" x14ac:dyDescent="0.2">
      <c r="A893" s="47"/>
      <c r="B893" s="9"/>
      <c r="C893" s="9"/>
      <c r="D893" s="9"/>
      <c r="E893" s="9"/>
    </row>
    <row r="894" spans="1:5" x14ac:dyDescent="0.2">
      <c r="A894" s="47"/>
      <c r="B894" s="9"/>
      <c r="C894" s="9"/>
      <c r="D894" s="9"/>
      <c r="E894" s="9"/>
    </row>
    <row r="895" spans="1:5" x14ac:dyDescent="0.2">
      <c r="A895" s="47"/>
      <c r="B895" s="9"/>
      <c r="C895" s="9"/>
      <c r="D895" s="9"/>
      <c r="E895" s="9"/>
    </row>
    <row r="896" spans="1:5" x14ac:dyDescent="0.2">
      <c r="A896" s="47"/>
      <c r="B896" s="9"/>
      <c r="C896" s="9"/>
      <c r="D896" s="9"/>
      <c r="E896" s="9"/>
    </row>
    <row r="897" spans="1:5" x14ac:dyDescent="0.2">
      <c r="A897" s="47"/>
      <c r="B897" s="9"/>
      <c r="C897" s="9"/>
      <c r="D897" s="9"/>
      <c r="E897" s="9"/>
    </row>
    <row r="898" spans="1:5" x14ac:dyDescent="0.2">
      <c r="A898" s="47"/>
      <c r="B898" s="9"/>
      <c r="C898" s="9"/>
      <c r="D898" s="9"/>
      <c r="E898" s="9"/>
    </row>
    <row r="899" spans="1:5" x14ac:dyDescent="0.2">
      <c r="A899" s="47"/>
      <c r="B899" s="9"/>
      <c r="C899" s="9"/>
      <c r="D899" s="9"/>
      <c r="E899" s="9"/>
    </row>
    <row r="900" spans="1:5" x14ac:dyDescent="0.2">
      <c r="A900" s="47"/>
      <c r="B900" s="9"/>
      <c r="C900" s="9"/>
      <c r="D900" s="9"/>
      <c r="E900" s="9"/>
    </row>
    <row r="901" spans="1:5" x14ac:dyDescent="0.2">
      <c r="A901" s="47"/>
      <c r="B901" s="9"/>
      <c r="C901" s="9"/>
      <c r="D901" s="9"/>
      <c r="E901" s="9"/>
    </row>
    <row r="902" spans="1:5" x14ac:dyDescent="0.2">
      <c r="A902" s="47"/>
      <c r="B902" s="9"/>
      <c r="C902" s="9"/>
      <c r="D902" s="9"/>
      <c r="E902" s="9"/>
    </row>
    <row r="903" spans="1:5" x14ac:dyDescent="0.2">
      <c r="A903" s="47"/>
      <c r="B903" s="9"/>
      <c r="C903" s="9"/>
      <c r="D903" s="9"/>
      <c r="E903" s="9"/>
    </row>
    <row r="904" spans="1:5" x14ac:dyDescent="0.2">
      <c r="A904" s="47"/>
      <c r="B904" s="9"/>
      <c r="C904" s="9"/>
      <c r="D904" s="9"/>
      <c r="E904" s="9"/>
    </row>
    <row r="905" spans="1:5" x14ac:dyDescent="0.2">
      <c r="A905" s="47"/>
      <c r="B905" s="9"/>
      <c r="C905" s="9"/>
      <c r="D905" s="9"/>
      <c r="E905" s="9"/>
    </row>
    <row r="906" spans="1:5" x14ac:dyDescent="0.2">
      <c r="A906" s="47"/>
      <c r="B906" s="9"/>
      <c r="C906" s="9"/>
      <c r="D906" s="9"/>
      <c r="E906" s="9"/>
    </row>
    <row r="907" spans="1:5" x14ac:dyDescent="0.2">
      <c r="A907" s="47"/>
      <c r="B907" s="9"/>
      <c r="C907" s="9"/>
      <c r="D907" s="9"/>
      <c r="E907" s="9"/>
    </row>
    <row r="908" spans="1:5" x14ac:dyDescent="0.2">
      <c r="A908" s="47"/>
      <c r="B908" s="9"/>
      <c r="C908" s="9"/>
      <c r="D908" s="9"/>
      <c r="E908" s="9"/>
    </row>
    <row r="909" spans="1:5" x14ac:dyDescent="0.2">
      <c r="A909" s="47"/>
      <c r="B909" s="9"/>
      <c r="C909" s="9"/>
      <c r="D909" s="9"/>
      <c r="E909" s="9"/>
    </row>
    <row r="910" spans="1:5" x14ac:dyDescent="0.2">
      <c r="A910" s="47"/>
      <c r="B910" s="9"/>
      <c r="C910" s="9"/>
      <c r="D910" s="9"/>
      <c r="E910" s="9"/>
    </row>
    <row r="911" spans="1:5" x14ac:dyDescent="0.2">
      <c r="A911" s="47"/>
      <c r="B911" s="9"/>
      <c r="C911" s="9"/>
      <c r="D911" s="9"/>
      <c r="E911" s="9"/>
    </row>
    <row r="912" spans="1:5" x14ac:dyDescent="0.2">
      <c r="A912" s="47"/>
      <c r="B912" s="9"/>
      <c r="C912" s="9"/>
      <c r="D912" s="9"/>
      <c r="E912" s="9"/>
    </row>
    <row r="913" spans="1:5" x14ac:dyDescent="0.2">
      <c r="A913" s="47"/>
      <c r="B913" s="9"/>
      <c r="C913" s="9"/>
      <c r="D913" s="9"/>
      <c r="E913" s="9"/>
    </row>
    <row r="914" spans="1:5" x14ac:dyDescent="0.2">
      <c r="A914" s="47"/>
      <c r="B914" s="9"/>
      <c r="C914" s="9"/>
      <c r="D914" s="9"/>
      <c r="E914" s="9"/>
    </row>
    <row r="915" spans="1:5" x14ac:dyDescent="0.2">
      <c r="A915" s="47"/>
      <c r="B915" s="9"/>
      <c r="C915" s="9"/>
      <c r="D915" s="9"/>
      <c r="E915" s="9"/>
    </row>
    <row r="916" spans="1:5" x14ac:dyDescent="0.2">
      <c r="A916" s="47"/>
      <c r="B916" s="9"/>
      <c r="C916" s="9"/>
      <c r="D916" s="9"/>
      <c r="E916" s="9"/>
    </row>
    <row r="917" spans="1:5" x14ac:dyDescent="0.2">
      <c r="A917" s="47"/>
      <c r="B917" s="9"/>
      <c r="C917" s="9"/>
      <c r="D917" s="9"/>
      <c r="E917" s="9"/>
    </row>
    <row r="918" spans="1:5" x14ac:dyDescent="0.2">
      <c r="A918" s="47"/>
      <c r="B918" s="9"/>
      <c r="C918" s="9"/>
      <c r="D918" s="9"/>
      <c r="E918" s="9"/>
    </row>
    <row r="919" spans="1:5" x14ac:dyDescent="0.2">
      <c r="A919" s="47"/>
      <c r="B919" s="9"/>
      <c r="C919" s="9"/>
      <c r="D919" s="9"/>
      <c r="E919" s="9"/>
    </row>
    <row r="920" spans="1:5" x14ac:dyDescent="0.2">
      <c r="A920" s="47"/>
      <c r="B920" s="9"/>
      <c r="C920" s="9"/>
      <c r="D920" s="9"/>
      <c r="E920" s="9"/>
    </row>
    <row r="921" spans="1:5" x14ac:dyDescent="0.2">
      <c r="A921" s="47"/>
      <c r="B921" s="9"/>
      <c r="C921" s="9"/>
      <c r="D921" s="9"/>
      <c r="E921" s="9"/>
    </row>
    <row r="922" spans="1:5" x14ac:dyDescent="0.2">
      <c r="A922" s="47"/>
      <c r="B922" s="9"/>
      <c r="C922" s="9"/>
      <c r="D922" s="9"/>
      <c r="E922" s="9"/>
    </row>
    <row r="923" spans="1:5" x14ac:dyDescent="0.2">
      <c r="A923" s="47"/>
      <c r="B923" s="9"/>
      <c r="C923" s="9"/>
      <c r="D923" s="9"/>
      <c r="E923" s="9"/>
    </row>
    <row r="924" spans="1:5" x14ac:dyDescent="0.2">
      <c r="A924" s="47"/>
      <c r="B924" s="9"/>
      <c r="C924" s="9"/>
      <c r="D924" s="9"/>
      <c r="E924" s="9"/>
    </row>
    <row r="925" spans="1:5" x14ac:dyDescent="0.2">
      <c r="A925" s="47"/>
      <c r="B925" s="9"/>
      <c r="C925" s="9"/>
      <c r="D925" s="9"/>
      <c r="E925" s="9"/>
    </row>
    <row r="926" spans="1:5" x14ac:dyDescent="0.2">
      <c r="A926" s="47"/>
      <c r="B926" s="9"/>
      <c r="C926" s="9"/>
      <c r="D926" s="9"/>
      <c r="E926" s="9"/>
    </row>
    <row r="927" spans="1:5" x14ac:dyDescent="0.2">
      <c r="A927" s="47"/>
      <c r="B927" s="9"/>
      <c r="C927" s="9"/>
      <c r="D927" s="9"/>
      <c r="E927" s="9"/>
    </row>
    <row r="928" spans="1:5" x14ac:dyDescent="0.2">
      <c r="A928" s="47"/>
      <c r="B928" s="9"/>
      <c r="C928" s="9"/>
      <c r="D928" s="9"/>
      <c r="E928" s="9"/>
    </row>
    <row r="929" spans="1:5" x14ac:dyDescent="0.2">
      <c r="A929" s="47"/>
      <c r="B929" s="9"/>
      <c r="C929" s="9"/>
      <c r="D929" s="9"/>
      <c r="E929" s="9"/>
    </row>
    <row r="930" spans="1:5" x14ac:dyDescent="0.2">
      <c r="A930" s="47"/>
      <c r="B930" s="9"/>
      <c r="C930" s="9"/>
      <c r="D930" s="9"/>
      <c r="E930" s="9"/>
    </row>
    <row r="931" spans="1:5" x14ac:dyDescent="0.2">
      <c r="A931" s="47"/>
      <c r="B931" s="9"/>
      <c r="C931" s="9"/>
      <c r="D931" s="9"/>
      <c r="E931" s="9"/>
    </row>
    <row r="932" spans="1:5" x14ac:dyDescent="0.2">
      <c r="A932" s="47"/>
      <c r="B932" s="9"/>
      <c r="C932" s="9"/>
      <c r="D932" s="9"/>
      <c r="E932" s="9"/>
    </row>
    <row r="933" spans="1:5" x14ac:dyDescent="0.2">
      <c r="A933" s="47"/>
      <c r="B933" s="9"/>
      <c r="C933" s="9"/>
      <c r="D933" s="9"/>
      <c r="E933" s="9"/>
    </row>
    <row r="934" spans="1:5" x14ac:dyDescent="0.2">
      <c r="A934" s="47"/>
      <c r="B934" s="9"/>
      <c r="C934" s="9"/>
      <c r="D934" s="9"/>
      <c r="E934" s="9"/>
    </row>
    <row r="935" spans="1:5" x14ac:dyDescent="0.2">
      <c r="A935" s="47"/>
      <c r="B935" s="9"/>
      <c r="C935" s="9"/>
      <c r="D935" s="9"/>
      <c r="E935" s="9"/>
    </row>
    <row r="936" spans="1:5" x14ac:dyDescent="0.2">
      <c r="A936" s="47"/>
      <c r="B936" s="9"/>
      <c r="C936" s="9"/>
      <c r="D936" s="9"/>
      <c r="E936" s="9"/>
    </row>
    <row r="937" spans="1:5" x14ac:dyDescent="0.2">
      <c r="A937" s="47"/>
      <c r="B937" s="9"/>
      <c r="C937" s="9"/>
      <c r="D937" s="9"/>
      <c r="E937" s="9"/>
    </row>
    <row r="938" spans="1:5" x14ac:dyDescent="0.2">
      <c r="A938" s="47"/>
      <c r="B938" s="9"/>
      <c r="C938" s="9"/>
      <c r="D938" s="9"/>
      <c r="E938" s="9"/>
    </row>
    <row r="939" spans="1:5" x14ac:dyDescent="0.2">
      <c r="A939" s="47"/>
      <c r="B939" s="9"/>
      <c r="C939" s="9"/>
      <c r="D939" s="9"/>
      <c r="E939" s="9"/>
    </row>
    <row r="940" spans="1:5" x14ac:dyDescent="0.2">
      <c r="A940" s="47"/>
      <c r="B940" s="9"/>
      <c r="C940" s="9"/>
      <c r="D940" s="9"/>
      <c r="E940" s="9"/>
    </row>
    <row r="941" spans="1:5" x14ac:dyDescent="0.2">
      <c r="A941" s="47"/>
      <c r="B941" s="9"/>
      <c r="C941" s="9"/>
      <c r="D941" s="9"/>
      <c r="E941" s="9"/>
    </row>
    <row r="942" spans="1:5" x14ac:dyDescent="0.2">
      <c r="A942" s="47"/>
      <c r="B942" s="9"/>
      <c r="C942" s="9"/>
      <c r="D942" s="9"/>
      <c r="E942" s="9"/>
    </row>
    <row r="943" spans="1:5" x14ac:dyDescent="0.2">
      <c r="A943" s="47"/>
      <c r="B943" s="9"/>
      <c r="C943" s="9"/>
      <c r="D943" s="9"/>
      <c r="E943" s="9"/>
    </row>
    <row r="944" spans="1:5" x14ac:dyDescent="0.2">
      <c r="A944" s="47"/>
      <c r="B944" s="9"/>
      <c r="C944" s="9"/>
      <c r="D944" s="9"/>
      <c r="E944" s="9"/>
    </row>
    <row r="945" spans="1:5" x14ac:dyDescent="0.2">
      <c r="A945" s="47"/>
      <c r="B945" s="9"/>
      <c r="C945" s="9"/>
      <c r="D945" s="9"/>
      <c r="E945" s="9"/>
    </row>
    <row r="946" spans="1:5" x14ac:dyDescent="0.2">
      <c r="A946" s="47"/>
      <c r="B946" s="9"/>
      <c r="C946" s="9"/>
      <c r="D946" s="9"/>
      <c r="E946" s="9"/>
    </row>
    <row r="947" spans="1:5" x14ac:dyDescent="0.2">
      <c r="A947" s="47"/>
      <c r="B947" s="9"/>
      <c r="C947" s="9"/>
      <c r="D947" s="9"/>
      <c r="E947" s="9"/>
    </row>
  </sheetData>
  <autoFilter ref="A9:H791"/>
  <mergeCells count="5">
    <mergeCell ref="A8:J8"/>
    <mergeCell ref="A3:J3"/>
    <mergeCell ref="A1:J1"/>
    <mergeCell ref="A2:J2"/>
    <mergeCell ref="A6:J6"/>
  </mergeCells>
  <phoneticPr fontId="2" type="noConversion"/>
  <pageMargins left="0.39370078740157483" right="0.39370078740157483" top="0.39370078740157483" bottom="0.39370078740157483" header="0.39370078740157483" footer="0"/>
  <pageSetup paperSize="9" scale="87" orientation="landscape" useFirstPageNumber="1" r:id="rId1"/>
  <headerFooter alignWithMargins="0">
    <oddFooter>&amp;C&amp;P</oddFooter>
  </headerFooter>
  <rowBreaks count="6" manualBreakCount="6">
    <brk id="36" max="9" man="1"/>
    <brk id="195" max="9" man="1"/>
    <brk id="512" max="9" man="1"/>
    <brk id="626" max="9" man="1"/>
    <brk id="668" max="9" man="1"/>
    <brk id="70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H1058"/>
  <sheetViews>
    <sheetView view="pageBreakPreview" zoomScale="140" zoomScaleNormal="120" zoomScaleSheetLayoutView="140" workbookViewId="0">
      <selection activeCell="B11" sqref="B11"/>
    </sheetView>
  </sheetViews>
  <sheetFormatPr defaultRowHeight="12.75" x14ac:dyDescent="0.2"/>
  <cols>
    <col min="1" max="1" width="80" style="8" customWidth="1"/>
    <col min="2" max="2" width="13.28515625" style="8" customWidth="1"/>
    <col min="3" max="3" width="8.7109375" style="9" customWidth="1"/>
    <col min="4" max="4" width="8" style="9" customWidth="1"/>
    <col min="5" max="5" width="8.28515625" style="9" customWidth="1"/>
    <col min="6" max="6" width="14.7109375" customWidth="1"/>
    <col min="7" max="7" width="12" customWidth="1"/>
  </cols>
  <sheetData>
    <row r="1" spans="1:8" ht="15" customHeight="1" x14ac:dyDescent="0.25">
      <c r="A1" s="348" t="s">
        <v>883</v>
      </c>
      <c r="B1" s="348"/>
      <c r="C1" s="348"/>
      <c r="D1" s="348"/>
      <c r="E1" s="348"/>
      <c r="F1" s="348"/>
      <c r="G1" s="348"/>
      <c r="H1" s="348"/>
    </row>
    <row r="2" spans="1:8" ht="15" customHeight="1" x14ac:dyDescent="0.25">
      <c r="A2" s="339" t="s">
        <v>776</v>
      </c>
      <c r="B2" s="339"/>
      <c r="C2" s="339"/>
      <c r="D2" s="339"/>
      <c r="E2" s="339"/>
      <c r="F2" s="339"/>
      <c r="G2" s="339"/>
      <c r="H2" s="339"/>
    </row>
    <row r="5" spans="1:8" ht="12.75" customHeight="1" x14ac:dyDescent="0.2">
      <c r="A5" s="349" t="s">
        <v>398</v>
      </c>
      <c r="B5" s="349"/>
      <c r="C5" s="349"/>
      <c r="D5" s="349"/>
      <c r="E5" s="349"/>
      <c r="F5" s="349"/>
      <c r="G5" s="349"/>
      <c r="H5" s="349"/>
    </row>
    <row r="6" spans="1:8" x14ac:dyDescent="0.2">
      <c r="A6" s="349"/>
      <c r="B6" s="349"/>
      <c r="C6" s="349"/>
      <c r="D6" s="349"/>
      <c r="E6" s="349"/>
      <c r="F6" s="349"/>
      <c r="G6" s="349"/>
      <c r="H6" s="349"/>
    </row>
    <row r="7" spans="1:8" ht="14.25" x14ac:dyDescent="0.2">
      <c r="A7" s="350" t="s">
        <v>671</v>
      </c>
      <c r="B7" s="350"/>
      <c r="C7" s="350"/>
      <c r="D7" s="350"/>
      <c r="E7" s="350"/>
      <c r="F7" s="350"/>
      <c r="G7" s="350"/>
      <c r="H7" s="350"/>
    </row>
    <row r="8" spans="1:8" x14ac:dyDescent="0.2">
      <c r="A8" s="347" t="s">
        <v>456</v>
      </c>
      <c r="B8" s="347"/>
      <c r="C8" s="347"/>
      <c r="D8" s="347"/>
      <c r="E8" s="347"/>
      <c r="F8" s="347"/>
      <c r="G8" s="347"/>
      <c r="H8" s="347"/>
    </row>
    <row r="9" spans="1:8" ht="38.25" x14ac:dyDescent="0.2">
      <c r="A9" s="10" t="s">
        <v>110</v>
      </c>
      <c r="B9" s="11" t="s">
        <v>422</v>
      </c>
      <c r="C9" s="11" t="s">
        <v>33</v>
      </c>
      <c r="D9" s="11" t="s">
        <v>32</v>
      </c>
      <c r="E9" s="11" t="s">
        <v>112</v>
      </c>
      <c r="F9" s="54" t="s">
        <v>767</v>
      </c>
      <c r="G9" s="54" t="s">
        <v>770</v>
      </c>
      <c r="H9" s="54" t="s">
        <v>766</v>
      </c>
    </row>
    <row r="10" spans="1:8" s="12" customFormat="1" ht="15.75" x14ac:dyDescent="0.2">
      <c r="A10" s="57" t="s">
        <v>423</v>
      </c>
      <c r="B10" s="58"/>
      <c r="C10" s="98"/>
      <c r="D10" s="98"/>
      <c r="E10" s="59"/>
      <c r="F10" s="196">
        <f>F11+F65+F71+F153+F237+F263+F270+F384+F465+F595+F680+F714+F721+F732</f>
        <v>5667848.7936000004</v>
      </c>
      <c r="G10" s="196">
        <f>G11+G65+G71+G153+G237+G263+G270+G384+G465+G595+G680+G714+G721+G732</f>
        <v>5421291.0165700009</v>
      </c>
      <c r="H10" s="196">
        <f>G10/F10*100</f>
        <v>95.649887885004858</v>
      </c>
    </row>
    <row r="11" spans="1:8" s="97" customFormat="1" ht="27" x14ac:dyDescent="0.2">
      <c r="A11" s="124" t="s">
        <v>527</v>
      </c>
      <c r="B11" s="176" t="s">
        <v>213</v>
      </c>
      <c r="C11" s="125"/>
      <c r="D11" s="125"/>
      <c r="E11" s="177"/>
      <c r="F11" s="178">
        <f>F12+F23+F54</f>
        <v>38642.9</v>
      </c>
      <c r="G11" s="178">
        <f t="shared" ref="G11" si="0">G12+G23+G54</f>
        <v>32163.917890000001</v>
      </c>
      <c r="H11" s="178">
        <f>G11/F11*100</f>
        <v>83.233706295334969</v>
      </c>
    </row>
    <row r="12" spans="1:8" s="97" customFormat="1" ht="26.25" customHeight="1" x14ac:dyDescent="0.2">
      <c r="A12" s="141" t="s">
        <v>528</v>
      </c>
      <c r="B12" s="142" t="s">
        <v>174</v>
      </c>
      <c r="C12" s="107"/>
      <c r="D12" s="107"/>
      <c r="E12" s="140"/>
      <c r="F12" s="108">
        <f>F13+F18</f>
        <v>25382</v>
      </c>
      <c r="G12" s="108">
        <f t="shared" ref="G12" si="1">G13+G18</f>
        <v>25230.972000000002</v>
      </c>
      <c r="H12" s="108">
        <f>G12/F12*100</f>
        <v>99.404979907020731</v>
      </c>
    </row>
    <row r="13" spans="1:8" s="97" customFormat="1" ht="24" x14ac:dyDescent="0.2">
      <c r="A13" s="103" t="s">
        <v>529</v>
      </c>
      <c r="B13" s="135" t="s">
        <v>129</v>
      </c>
      <c r="C13" s="104"/>
      <c r="D13" s="104"/>
      <c r="E13" s="143"/>
      <c r="F13" s="127">
        <f>F14</f>
        <v>7140</v>
      </c>
      <c r="G13" s="127">
        <f t="shared" ref="G13:G16" si="2">G14</f>
        <v>7140</v>
      </c>
      <c r="H13" s="127">
        <f>G13/F13*100</f>
        <v>100</v>
      </c>
    </row>
    <row r="14" spans="1:8" s="97" customFormat="1" ht="12" x14ac:dyDescent="0.2">
      <c r="A14" s="60" t="s">
        <v>114</v>
      </c>
      <c r="B14" s="135" t="s">
        <v>129</v>
      </c>
      <c r="C14" s="104" t="s">
        <v>76</v>
      </c>
      <c r="D14" s="104"/>
      <c r="E14" s="143"/>
      <c r="F14" s="127">
        <f>F15</f>
        <v>7140</v>
      </c>
      <c r="G14" s="127">
        <f t="shared" si="2"/>
        <v>7140</v>
      </c>
      <c r="H14" s="127">
        <f t="shared" ref="H14:H77" si="3">G14/F14*100</f>
        <v>100</v>
      </c>
    </row>
    <row r="15" spans="1:8" s="97" customFormat="1" ht="12" x14ac:dyDescent="0.2">
      <c r="A15" s="60" t="s">
        <v>411</v>
      </c>
      <c r="B15" s="135" t="s">
        <v>129</v>
      </c>
      <c r="C15" s="104" t="s">
        <v>76</v>
      </c>
      <c r="D15" s="104" t="s">
        <v>93</v>
      </c>
      <c r="E15" s="143"/>
      <c r="F15" s="127">
        <f>F16</f>
        <v>7140</v>
      </c>
      <c r="G15" s="127">
        <f t="shared" si="2"/>
        <v>7140</v>
      </c>
      <c r="H15" s="127">
        <f t="shared" si="3"/>
        <v>100</v>
      </c>
    </row>
    <row r="16" spans="1:8" s="97" customFormat="1" ht="12" x14ac:dyDescent="0.2">
      <c r="A16" s="112" t="s">
        <v>294</v>
      </c>
      <c r="B16" s="123" t="s">
        <v>129</v>
      </c>
      <c r="C16" s="113" t="s">
        <v>76</v>
      </c>
      <c r="D16" s="113" t="s">
        <v>93</v>
      </c>
      <c r="E16" s="130">
        <v>200</v>
      </c>
      <c r="F16" s="128">
        <f>F17</f>
        <v>7140</v>
      </c>
      <c r="G16" s="128">
        <f t="shared" si="2"/>
        <v>7140</v>
      </c>
      <c r="H16" s="128">
        <f t="shared" si="3"/>
        <v>100</v>
      </c>
    </row>
    <row r="17" spans="1:8" s="97" customFormat="1" ht="12" x14ac:dyDescent="0.2">
      <c r="A17" s="112" t="s">
        <v>85</v>
      </c>
      <c r="B17" s="123" t="s">
        <v>129</v>
      </c>
      <c r="C17" s="113" t="s">
        <v>76</v>
      </c>
      <c r="D17" s="113" t="s">
        <v>93</v>
      </c>
      <c r="E17" s="130">
        <v>240</v>
      </c>
      <c r="F17" s="128">
        <v>7140</v>
      </c>
      <c r="G17" s="128">
        <v>7140</v>
      </c>
      <c r="H17" s="128">
        <f t="shared" si="3"/>
        <v>100</v>
      </c>
    </row>
    <row r="18" spans="1:8" s="97" customFormat="1" ht="24" x14ac:dyDescent="0.2">
      <c r="A18" s="103" t="s">
        <v>530</v>
      </c>
      <c r="B18" s="135" t="s">
        <v>531</v>
      </c>
      <c r="C18" s="104"/>
      <c r="D18" s="104"/>
      <c r="E18" s="143"/>
      <c r="F18" s="127">
        <f>F19</f>
        <v>18242</v>
      </c>
      <c r="G18" s="127">
        <f t="shared" ref="G18:G21" si="4">G19</f>
        <v>18090.972000000002</v>
      </c>
      <c r="H18" s="127">
        <f t="shared" si="3"/>
        <v>99.172086394035759</v>
      </c>
    </row>
    <row r="19" spans="1:8" s="97" customFormat="1" ht="12" x14ac:dyDescent="0.2">
      <c r="A19" s="60" t="s">
        <v>114</v>
      </c>
      <c r="B19" s="135" t="s">
        <v>531</v>
      </c>
      <c r="C19" s="104" t="s">
        <v>76</v>
      </c>
      <c r="D19" s="104"/>
      <c r="E19" s="143"/>
      <c r="F19" s="127">
        <f>F20</f>
        <v>18242</v>
      </c>
      <c r="G19" s="127">
        <f t="shared" si="4"/>
        <v>18090.972000000002</v>
      </c>
      <c r="H19" s="127">
        <f t="shared" si="3"/>
        <v>99.172086394035759</v>
      </c>
    </row>
    <row r="20" spans="1:8" s="97" customFormat="1" ht="12" x14ac:dyDescent="0.2">
      <c r="A20" s="60" t="s">
        <v>411</v>
      </c>
      <c r="B20" s="135" t="s">
        <v>531</v>
      </c>
      <c r="C20" s="104" t="s">
        <v>76</v>
      </c>
      <c r="D20" s="104" t="s">
        <v>93</v>
      </c>
      <c r="E20" s="143"/>
      <c r="F20" s="127">
        <f>F21</f>
        <v>18242</v>
      </c>
      <c r="G20" s="127">
        <f t="shared" si="4"/>
        <v>18090.972000000002</v>
      </c>
      <c r="H20" s="127">
        <f t="shared" si="3"/>
        <v>99.172086394035759</v>
      </c>
    </row>
    <row r="21" spans="1:8" s="97" customFormat="1" ht="12" x14ac:dyDescent="0.2">
      <c r="A21" s="112" t="s">
        <v>294</v>
      </c>
      <c r="B21" s="123" t="s">
        <v>531</v>
      </c>
      <c r="C21" s="113" t="s">
        <v>76</v>
      </c>
      <c r="D21" s="113" t="s">
        <v>93</v>
      </c>
      <c r="E21" s="130">
        <v>200</v>
      </c>
      <c r="F21" s="128">
        <f>F22</f>
        <v>18242</v>
      </c>
      <c r="G21" s="128">
        <f t="shared" si="4"/>
        <v>18090.972000000002</v>
      </c>
      <c r="H21" s="128">
        <f t="shared" si="3"/>
        <v>99.172086394035759</v>
      </c>
    </row>
    <row r="22" spans="1:8" s="97" customFormat="1" ht="12" x14ac:dyDescent="0.2">
      <c r="A22" s="112" t="s">
        <v>85</v>
      </c>
      <c r="B22" s="123" t="s">
        <v>531</v>
      </c>
      <c r="C22" s="113" t="s">
        <v>76</v>
      </c>
      <c r="D22" s="113" t="s">
        <v>93</v>
      </c>
      <c r="E22" s="130">
        <v>240</v>
      </c>
      <c r="F22" s="128">
        <v>18242</v>
      </c>
      <c r="G22" s="128">
        <v>18090.972000000002</v>
      </c>
      <c r="H22" s="128">
        <f t="shared" si="3"/>
        <v>99.172086394035759</v>
      </c>
    </row>
    <row r="23" spans="1:8" s="97" customFormat="1" ht="27" x14ac:dyDescent="0.2">
      <c r="A23" s="141" t="s">
        <v>58</v>
      </c>
      <c r="B23" s="142" t="s">
        <v>246</v>
      </c>
      <c r="C23" s="107"/>
      <c r="D23" s="107"/>
      <c r="E23" s="140"/>
      <c r="F23" s="108">
        <f>F24+F29+F34+F39+F44+F49</f>
        <v>10560.9</v>
      </c>
      <c r="G23" s="108">
        <f t="shared" ref="G23" si="5">G24+G29+G34+G39+G44+G49</f>
        <v>6932.94589</v>
      </c>
      <c r="H23" s="155">
        <f t="shared" si="3"/>
        <v>65.647301745116422</v>
      </c>
    </row>
    <row r="24" spans="1:8" s="97" customFormat="1" ht="12" x14ac:dyDescent="0.2">
      <c r="A24" s="134" t="s">
        <v>532</v>
      </c>
      <c r="B24" s="135" t="s">
        <v>533</v>
      </c>
      <c r="C24" s="104"/>
      <c r="D24" s="104"/>
      <c r="E24" s="143"/>
      <c r="F24" s="105">
        <f>F25</f>
        <v>1206.9000000000001</v>
      </c>
      <c r="G24" s="105">
        <f t="shared" ref="G24:G27" si="6">G25</f>
        <v>1198.19857</v>
      </c>
      <c r="H24" s="127">
        <f t="shared" si="3"/>
        <v>99.279026431353046</v>
      </c>
    </row>
    <row r="25" spans="1:8" s="97" customFormat="1" ht="12" x14ac:dyDescent="0.2">
      <c r="A25" s="60" t="s">
        <v>114</v>
      </c>
      <c r="B25" s="135" t="s">
        <v>533</v>
      </c>
      <c r="C25" s="104" t="s">
        <v>76</v>
      </c>
      <c r="D25" s="104"/>
      <c r="E25" s="143"/>
      <c r="F25" s="127">
        <f>F26</f>
        <v>1206.9000000000001</v>
      </c>
      <c r="G25" s="127">
        <f t="shared" si="6"/>
        <v>1198.19857</v>
      </c>
      <c r="H25" s="127">
        <f t="shared" si="3"/>
        <v>99.279026431353046</v>
      </c>
    </row>
    <row r="26" spans="1:8" s="97" customFormat="1" ht="12" x14ac:dyDescent="0.2">
      <c r="A26" s="60" t="s">
        <v>411</v>
      </c>
      <c r="B26" s="135" t="s">
        <v>533</v>
      </c>
      <c r="C26" s="104" t="s">
        <v>76</v>
      </c>
      <c r="D26" s="104" t="s">
        <v>93</v>
      </c>
      <c r="E26" s="143"/>
      <c r="F26" s="127">
        <f>F27</f>
        <v>1206.9000000000001</v>
      </c>
      <c r="G26" s="127">
        <f t="shared" si="6"/>
        <v>1198.19857</v>
      </c>
      <c r="H26" s="127">
        <f t="shared" si="3"/>
        <v>99.279026431353046</v>
      </c>
    </row>
    <row r="27" spans="1:8" s="97" customFormat="1" ht="12" x14ac:dyDescent="0.2">
      <c r="A27" s="112" t="s">
        <v>294</v>
      </c>
      <c r="B27" s="123" t="s">
        <v>533</v>
      </c>
      <c r="C27" s="113" t="s">
        <v>76</v>
      </c>
      <c r="D27" s="113" t="s">
        <v>93</v>
      </c>
      <c r="E27" s="130">
        <v>200</v>
      </c>
      <c r="F27" s="114">
        <f>F28</f>
        <v>1206.9000000000001</v>
      </c>
      <c r="G27" s="114">
        <f t="shared" si="6"/>
        <v>1198.19857</v>
      </c>
      <c r="H27" s="128">
        <f t="shared" si="3"/>
        <v>99.279026431353046</v>
      </c>
    </row>
    <row r="28" spans="1:8" s="97" customFormat="1" ht="12" x14ac:dyDescent="0.2">
      <c r="A28" s="112" t="s">
        <v>85</v>
      </c>
      <c r="B28" s="123" t="s">
        <v>533</v>
      </c>
      <c r="C28" s="113" t="s">
        <v>76</v>
      </c>
      <c r="D28" s="113" t="s">
        <v>93</v>
      </c>
      <c r="E28" s="130">
        <v>240</v>
      </c>
      <c r="F28" s="114">
        <f>906.9+300</f>
        <v>1206.9000000000001</v>
      </c>
      <c r="G28" s="114">
        <v>1198.19857</v>
      </c>
      <c r="H28" s="128">
        <f t="shared" si="3"/>
        <v>99.279026431353046</v>
      </c>
    </row>
    <row r="29" spans="1:8" s="97" customFormat="1" ht="24" x14ac:dyDescent="0.2">
      <c r="A29" s="134" t="s">
        <v>534</v>
      </c>
      <c r="B29" s="135" t="s">
        <v>535</v>
      </c>
      <c r="C29" s="104"/>
      <c r="D29" s="104"/>
      <c r="E29" s="130"/>
      <c r="F29" s="105">
        <f>F30</f>
        <v>1540</v>
      </c>
      <c r="G29" s="105">
        <f t="shared" ref="G29:G32" si="7">G30</f>
        <v>586.84932000000003</v>
      </c>
      <c r="H29" s="127">
        <f t="shared" si="3"/>
        <v>38.107098701298703</v>
      </c>
    </row>
    <row r="30" spans="1:8" s="97" customFormat="1" ht="12" x14ac:dyDescent="0.2">
      <c r="A30" s="60" t="s">
        <v>114</v>
      </c>
      <c r="B30" s="135" t="s">
        <v>535</v>
      </c>
      <c r="C30" s="104" t="s">
        <v>76</v>
      </c>
      <c r="D30" s="104"/>
      <c r="E30" s="143"/>
      <c r="F30" s="127">
        <f>F31</f>
        <v>1540</v>
      </c>
      <c r="G30" s="127">
        <f t="shared" si="7"/>
        <v>586.84932000000003</v>
      </c>
      <c r="H30" s="127">
        <f t="shared" si="3"/>
        <v>38.107098701298703</v>
      </c>
    </row>
    <row r="31" spans="1:8" s="97" customFormat="1" ht="12" x14ac:dyDescent="0.2">
      <c r="A31" s="60" t="s">
        <v>411</v>
      </c>
      <c r="B31" s="135" t="s">
        <v>535</v>
      </c>
      <c r="C31" s="104" t="s">
        <v>76</v>
      </c>
      <c r="D31" s="104" t="s">
        <v>93</v>
      </c>
      <c r="E31" s="143"/>
      <c r="F31" s="127">
        <f>F32</f>
        <v>1540</v>
      </c>
      <c r="G31" s="127">
        <f t="shared" si="7"/>
        <v>586.84932000000003</v>
      </c>
      <c r="H31" s="127">
        <f t="shared" si="3"/>
        <v>38.107098701298703</v>
      </c>
    </row>
    <row r="32" spans="1:8" s="97" customFormat="1" ht="12" x14ac:dyDescent="0.2">
      <c r="A32" s="112" t="s">
        <v>294</v>
      </c>
      <c r="B32" s="123" t="s">
        <v>535</v>
      </c>
      <c r="C32" s="113" t="s">
        <v>76</v>
      </c>
      <c r="D32" s="113" t="s">
        <v>93</v>
      </c>
      <c r="E32" s="130">
        <v>200</v>
      </c>
      <c r="F32" s="114">
        <f>F33</f>
        <v>1540</v>
      </c>
      <c r="G32" s="114">
        <f t="shared" si="7"/>
        <v>586.84932000000003</v>
      </c>
      <c r="H32" s="128">
        <f t="shared" si="3"/>
        <v>38.107098701298703</v>
      </c>
    </row>
    <row r="33" spans="1:8" s="97" customFormat="1" ht="12" x14ac:dyDescent="0.2">
      <c r="A33" s="112" t="s">
        <v>85</v>
      </c>
      <c r="B33" s="123" t="s">
        <v>535</v>
      </c>
      <c r="C33" s="113" t="s">
        <v>76</v>
      </c>
      <c r="D33" s="113" t="s">
        <v>93</v>
      </c>
      <c r="E33" s="130">
        <v>240</v>
      </c>
      <c r="F33" s="114">
        <v>1540</v>
      </c>
      <c r="G33" s="114">
        <v>586.84932000000003</v>
      </c>
      <c r="H33" s="128">
        <f t="shared" si="3"/>
        <v>38.107098701298703</v>
      </c>
    </row>
    <row r="34" spans="1:8" s="97" customFormat="1" ht="24" x14ac:dyDescent="0.2">
      <c r="A34" s="134" t="s">
        <v>536</v>
      </c>
      <c r="B34" s="135" t="s">
        <v>537</v>
      </c>
      <c r="C34" s="104"/>
      <c r="D34" s="104"/>
      <c r="E34" s="130"/>
      <c r="F34" s="105">
        <f>F35</f>
        <v>3864</v>
      </c>
      <c r="G34" s="105">
        <f t="shared" ref="G34:G37" si="8">G35</f>
        <v>2958.7869999999998</v>
      </c>
      <c r="H34" s="127">
        <f t="shared" si="3"/>
        <v>76.573162525879908</v>
      </c>
    </row>
    <row r="35" spans="1:8" s="97" customFormat="1" ht="12" x14ac:dyDescent="0.2">
      <c r="A35" s="60" t="s">
        <v>114</v>
      </c>
      <c r="B35" s="135" t="s">
        <v>537</v>
      </c>
      <c r="C35" s="104" t="s">
        <v>76</v>
      </c>
      <c r="D35" s="104"/>
      <c r="E35" s="143"/>
      <c r="F35" s="127">
        <f>F36</f>
        <v>3864</v>
      </c>
      <c r="G35" s="127">
        <f t="shared" si="8"/>
        <v>2958.7869999999998</v>
      </c>
      <c r="H35" s="127">
        <f t="shared" si="3"/>
        <v>76.573162525879908</v>
      </c>
    </row>
    <row r="36" spans="1:8" s="97" customFormat="1" ht="12" x14ac:dyDescent="0.2">
      <c r="A36" s="60" t="s">
        <v>411</v>
      </c>
      <c r="B36" s="135" t="s">
        <v>537</v>
      </c>
      <c r="C36" s="104" t="s">
        <v>76</v>
      </c>
      <c r="D36" s="104" t="s">
        <v>93</v>
      </c>
      <c r="E36" s="143"/>
      <c r="F36" s="127">
        <f>F37</f>
        <v>3864</v>
      </c>
      <c r="G36" s="127">
        <f t="shared" si="8"/>
        <v>2958.7869999999998</v>
      </c>
      <c r="H36" s="127">
        <f t="shared" si="3"/>
        <v>76.573162525879908</v>
      </c>
    </row>
    <row r="37" spans="1:8" s="97" customFormat="1" ht="12" x14ac:dyDescent="0.2">
      <c r="A37" s="112" t="s">
        <v>294</v>
      </c>
      <c r="B37" s="123" t="s">
        <v>537</v>
      </c>
      <c r="C37" s="113" t="s">
        <v>76</v>
      </c>
      <c r="D37" s="113" t="s">
        <v>93</v>
      </c>
      <c r="E37" s="130">
        <v>200</v>
      </c>
      <c r="F37" s="114">
        <f>F38</f>
        <v>3864</v>
      </c>
      <c r="G37" s="114">
        <f t="shared" si="8"/>
        <v>2958.7869999999998</v>
      </c>
      <c r="H37" s="128">
        <f t="shared" si="3"/>
        <v>76.573162525879908</v>
      </c>
    </row>
    <row r="38" spans="1:8" s="97" customFormat="1" ht="15.75" customHeight="1" x14ac:dyDescent="0.2">
      <c r="A38" s="112" t="s">
        <v>85</v>
      </c>
      <c r="B38" s="123" t="s">
        <v>537</v>
      </c>
      <c r="C38" s="113" t="s">
        <v>76</v>
      </c>
      <c r="D38" s="113" t="s">
        <v>93</v>
      </c>
      <c r="E38" s="130">
        <v>240</v>
      </c>
      <c r="F38" s="114">
        <f>4164-300</f>
        <v>3864</v>
      </c>
      <c r="G38" s="114">
        <v>2958.7869999999998</v>
      </c>
      <c r="H38" s="128">
        <f t="shared" si="3"/>
        <v>76.573162525879908</v>
      </c>
    </row>
    <row r="39" spans="1:8" s="97" customFormat="1" ht="24" x14ac:dyDescent="0.2">
      <c r="A39" s="134" t="s">
        <v>538</v>
      </c>
      <c r="B39" s="135" t="s">
        <v>539</v>
      </c>
      <c r="C39" s="104"/>
      <c r="D39" s="104"/>
      <c r="E39" s="130"/>
      <c r="F39" s="105">
        <f>F40</f>
        <v>2650</v>
      </c>
      <c r="G39" s="105">
        <f t="shared" ref="G39:G42" si="9">G40</f>
        <v>1914.1659999999999</v>
      </c>
      <c r="H39" s="127">
        <f t="shared" si="3"/>
        <v>72.232679245283009</v>
      </c>
    </row>
    <row r="40" spans="1:8" s="97" customFormat="1" ht="12" x14ac:dyDescent="0.2">
      <c r="A40" s="60" t="s">
        <v>114</v>
      </c>
      <c r="B40" s="135" t="s">
        <v>539</v>
      </c>
      <c r="C40" s="104" t="s">
        <v>76</v>
      </c>
      <c r="D40" s="104"/>
      <c r="E40" s="143"/>
      <c r="F40" s="127">
        <f>F41</f>
        <v>2650</v>
      </c>
      <c r="G40" s="127">
        <f t="shared" si="9"/>
        <v>1914.1659999999999</v>
      </c>
      <c r="H40" s="127">
        <f t="shared" si="3"/>
        <v>72.232679245283009</v>
      </c>
    </row>
    <row r="41" spans="1:8" s="97" customFormat="1" ht="12" x14ac:dyDescent="0.2">
      <c r="A41" s="60" t="s">
        <v>411</v>
      </c>
      <c r="B41" s="135" t="s">
        <v>539</v>
      </c>
      <c r="C41" s="104" t="s">
        <v>76</v>
      </c>
      <c r="D41" s="104" t="s">
        <v>93</v>
      </c>
      <c r="E41" s="143"/>
      <c r="F41" s="127">
        <f>F42</f>
        <v>2650</v>
      </c>
      <c r="G41" s="127">
        <f t="shared" si="9"/>
        <v>1914.1659999999999</v>
      </c>
      <c r="H41" s="127">
        <f t="shared" si="3"/>
        <v>72.232679245283009</v>
      </c>
    </row>
    <row r="42" spans="1:8" s="97" customFormat="1" ht="12" x14ac:dyDescent="0.2">
      <c r="A42" s="112" t="s">
        <v>294</v>
      </c>
      <c r="B42" s="123" t="s">
        <v>539</v>
      </c>
      <c r="C42" s="113" t="s">
        <v>76</v>
      </c>
      <c r="D42" s="113" t="s">
        <v>93</v>
      </c>
      <c r="E42" s="130">
        <v>200</v>
      </c>
      <c r="F42" s="114">
        <f>F43</f>
        <v>2650</v>
      </c>
      <c r="G42" s="114">
        <f t="shared" si="9"/>
        <v>1914.1659999999999</v>
      </c>
      <c r="H42" s="128">
        <f t="shared" si="3"/>
        <v>72.232679245283009</v>
      </c>
    </row>
    <row r="43" spans="1:8" s="97" customFormat="1" ht="12" x14ac:dyDescent="0.2">
      <c r="A43" s="112" t="s">
        <v>85</v>
      </c>
      <c r="B43" s="123" t="s">
        <v>539</v>
      </c>
      <c r="C43" s="113" t="s">
        <v>76</v>
      </c>
      <c r="D43" s="113" t="s">
        <v>93</v>
      </c>
      <c r="E43" s="130">
        <v>240</v>
      </c>
      <c r="F43" s="114">
        <v>2650</v>
      </c>
      <c r="G43" s="114">
        <v>1914.1659999999999</v>
      </c>
      <c r="H43" s="128">
        <f t="shared" si="3"/>
        <v>72.232679245283009</v>
      </c>
    </row>
    <row r="44" spans="1:8" s="97" customFormat="1" ht="14.25" customHeight="1" x14ac:dyDescent="0.2">
      <c r="A44" s="134" t="s">
        <v>247</v>
      </c>
      <c r="B44" s="135" t="s">
        <v>540</v>
      </c>
      <c r="C44" s="104"/>
      <c r="D44" s="104"/>
      <c r="E44" s="130"/>
      <c r="F44" s="127">
        <f>F45</f>
        <v>800</v>
      </c>
      <c r="G44" s="127">
        <f t="shared" ref="G44:G47" si="10">G45</f>
        <v>99.82</v>
      </c>
      <c r="H44" s="127">
        <f t="shared" si="3"/>
        <v>12.477499999999999</v>
      </c>
    </row>
    <row r="45" spans="1:8" s="97" customFormat="1" ht="12" x14ac:dyDescent="0.2">
      <c r="A45" s="60" t="s">
        <v>114</v>
      </c>
      <c r="B45" s="135" t="s">
        <v>540</v>
      </c>
      <c r="C45" s="104" t="s">
        <v>76</v>
      </c>
      <c r="D45" s="104"/>
      <c r="E45" s="143"/>
      <c r="F45" s="127">
        <f>F46</f>
        <v>800</v>
      </c>
      <c r="G45" s="127">
        <f t="shared" si="10"/>
        <v>99.82</v>
      </c>
      <c r="H45" s="127">
        <f t="shared" si="3"/>
        <v>12.477499999999999</v>
      </c>
    </row>
    <row r="46" spans="1:8" s="97" customFormat="1" ht="12" x14ac:dyDescent="0.2">
      <c r="A46" s="60" t="s">
        <v>411</v>
      </c>
      <c r="B46" s="135" t="s">
        <v>540</v>
      </c>
      <c r="C46" s="104" t="s">
        <v>76</v>
      </c>
      <c r="D46" s="104" t="s">
        <v>93</v>
      </c>
      <c r="E46" s="143"/>
      <c r="F46" s="127">
        <f>F47</f>
        <v>800</v>
      </c>
      <c r="G46" s="127">
        <f t="shared" si="10"/>
        <v>99.82</v>
      </c>
      <c r="H46" s="127">
        <f t="shared" si="3"/>
        <v>12.477499999999999</v>
      </c>
    </row>
    <row r="47" spans="1:8" s="97" customFormat="1" ht="12" x14ac:dyDescent="0.2">
      <c r="A47" s="112" t="s">
        <v>294</v>
      </c>
      <c r="B47" s="123" t="s">
        <v>540</v>
      </c>
      <c r="C47" s="113" t="s">
        <v>76</v>
      </c>
      <c r="D47" s="113" t="s">
        <v>93</v>
      </c>
      <c r="E47" s="130">
        <v>200</v>
      </c>
      <c r="F47" s="128">
        <f>F48</f>
        <v>800</v>
      </c>
      <c r="G47" s="128">
        <f t="shared" si="10"/>
        <v>99.82</v>
      </c>
      <c r="H47" s="128">
        <f t="shared" si="3"/>
        <v>12.477499999999999</v>
      </c>
    </row>
    <row r="48" spans="1:8" s="97" customFormat="1" ht="12" x14ac:dyDescent="0.2">
      <c r="A48" s="112" t="s">
        <v>85</v>
      </c>
      <c r="B48" s="123" t="s">
        <v>540</v>
      </c>
      <c r="C48" s="113" t="s">
        <v>76</v>
      </c>
      <c r="D48" s="113" t="s">
        <v>93</v>
      </c>
      <c r="E48" s="130">
        <v>240</v>
      </c>
      <c r="F48" s="128">
        <v>800</v>
      </c>
      <c r="G48" s="128">
        <v>99.82</v>
      </c>
      <c r="H48" s="128">
        <f t="shared" si="3"/>
        <v>12.477499999999999</v>
      </c>
    </row>
    <row r="49" spans="1:8" s="97" customFormat="1" ht="12" x14ac:dyDescent="0.2">
      <c r="A49" s="134" t="s">
        <v>248</v>
      </c>
      <c r="B49" s="135" t="s">
        <v>541</v>
      </c>
      <c r="C49" s="104"/>
      <c r="D49" s="104"/>
      <c r="E49" s="130"/>
      <c r="F49" s="105">
        <f>F50</f>
        <v>500</v>
      </c>
      <c r="G49" s="105">
        <f t="shared" ref="G49:G52" si="11">G50</f>
        <v>175.125</v>
      </c>
      <c r="H49" s="127">
        <f t="shared" si="3"/>
        <v>35.024999999999999</v>
      </c>
    </row>
    <row r="50" spans="1:8" s="97" customFormat="1" ht="12" x14ac:dyDescent="0.2">
      <c r="A50" s="60" t="s">
        <v>114</v>
      </c>
      <c r="B50" s="135" t="s">
        <v>541</v>
      </c>
      <c r="C50" s="104" t="s">
        <v>76</v>
      </c>
      <c r="D50" s="104"/>
      <c r="E50" s="143"/>
      <c r="F50" s="127">
        <f>F51</f>
        <v>500</v>
      </c>
      <c r="G50" s="127">
        <f t="shared" si="11"/>
        <v>175.125</v>
      </c>
      <c r="H50" s="127">
        <f t="shared" si="3"/>
        <v>35.024999999999999</v>
      </c>
    </row>
    <row r="51" spans="1:8" s="97" customFormat="1" ht="12" x14ac:dyDescent="0.2">
      <c r="A51" s="60" t="s">
        <v>411</v>
      </c>
      <c r="B51" s="135" t="s">
        <v>541</v>
      </c>
      <c r="C51" s="104" t="s">
        <v>76</v>
      </c>
      <c r="D51" s="104" t="s">
        <v>93</v>
      </c>
      <c r="E51" s="143"/>
      <c r="F51" s="127">
        <f>F52</f>
        <v>500</v>
      </c>
      <c r="G51" s="127">
        <f t="shared" si="11"/>
        <v>175.125</v>
      </c>
      <c r="H51" s="127">
        <f t="shared" si="3"/>
        <v>35.024999999999999</v>
      </c>
    </row>
    <row r="52" spans="1:8" s="97" customFormat="1" ht="12" x14ac:dyDescent="0.2">
      <c r="A52" s="112" t="s">
        <v>294</v>
      </c>
      <c r="B52" s="123" t="s">
        <v>541</v>
      </c>
      <c r="C52" s="113" t="s">
        <v>76</v>
      </c>
      <c r="D52" s="113" t="s">
        <v>93</v>
      </c>
      <c r="E52" s="130">
        <v>200</v>
      </c>
      <c r="F52" s="114">
        <f>F53</f>
        <v>500</v>
      </c>
      <c r="G52" s="114">
        <f t="shared" si="11"/>
        <v>175.125</v>
      </c>
      <c r="H52" s="128">
        <f t="shared" si="3"/>
        <v>35.024999999999999</v>
      </c>
    </row>
    <row r="53" spans="1:8" s="97" customFormat="1" ht="12" x14ac:dyDescent="0.2">
      <c r="A53" s="112" t="s">
        <v>85</v>
      </c>
      <c r="B53" s="123" t="s">
        <v>541</v>
      </c>
      <c r="C53" s="113" t="s">
        <v>76</v>
      </c>
      <c r="D53" s="113" t="s">
        <v>93</v>
      </c>
      <c r="E53" s="130">
        <v>240</v>
      </c>
      <c r="F53" s="114">
        <v>500</v>
      </c>
      <c r="G53" s="114">
        <v>175.125</v>
      </c>
      <c r="H53" s="128">
        <f t="shared" si="3"/>
        <v>35.024999999999999</v>
      </c>
    </row>
    <row r="54" spans="1:8" s="97" customFormat="1" ht="13.5" x14ac:dyDescent="0.2">
      <c r="A54" s="116" t="s">
        <v>39</v>
      </c>
      <c r="B54" s="142" t="s">
        <v>40</v>
      </c>
      <c r="C54" s="107"/>
      <c r="D54" s="107"/>
      <c r="E54" s="140"/>
      <c r="F54" s="108">
        <f>F55+F60</f>
        <v>2700</v>
      </c>
      <c r="G54" s="286">
        <f t="shared" ref="G54" si="12">G55+G60</f>
        <v>0</v>
      </c>
      <c r="H54" s="284">
        <f t="shared" si="3"/>
        <v>0</v>
      </c>
    </row>
    <row r="55" spans="1:8" s="97" customFormat="1" ht="12" x14ac:dyDescent="0.2">
      <c r="A55" s="103" t="s">
        <v>41</v>
      </c>
      <c r="B55" s="104" t="s">
        <v>542</v>
      </c>
      <c r="C55" s="104"/>
      <c r="D55" s="104"/>
      <c r="E55" s="143"/>
      <c r="F55" s="105">
        <f>F56</f>
        <v>1000</v>
      </c>
      <c r="G55" s="284">
        <f t="shared" ref="G55:G58" si="13">G56</f>
        <v>0</v>
      </c>
      <c r="H55" s="284">
        <f t="shared" si="3"/>
        <v>0</v>
      </c>
    </row>
    <row r="56" spans="1:8" s="97" customFormat="1" ht="12" x14ac:dyDescent="0.2">
      <c r="A56" s="60" t="s">
        <v>114</v>
      </c>
      <c r="B56" s="104" t="s">
        <v>542</v>
      </c>
      <c r="C56" s="104" t="s">
        <v>76</v>
      </c>
      <c r="D56" s="104"/>
      <c r="E56" s="143"/>
      <c r="F56" s="127">
        <f>F57</f>
        <v>1000</v>
      </c>
      <c r="G56" s="284">
        <f t="shared" si="13"/>
        <v>0</v>
      </c>
      <c r="H56" s="284">
        <f t="shared" si="3"/>
        <v>0</v>
      </c>
    </row>
    <row r="57" spans="1:8" s="97" customFormat="1" ht="12" x14ac:dyDescent="0.2">
      <c r="A57" s="60" t="s">
        <v>411</v>
      </c>
      <c r="B57" s="104" t="s">
        <v>542</v>
      </c>
      <c r="C57" s="104" t="s">
        <v>76</v>
      </c>
      <c r="D57" s="104" t="s">
        <v>93</v>
      </c>
      <c r="E57" s="143"/>
      <c r="F57" s="127">
        <f>F58</f>
        <v>1000</v>
      </c>
      <c r="G57" s="284">
        <f t="shared" si="13"/>
        <v>0</v>
      </c>
      <c r="H57" s="284">
        <f t="shared" si="3"/>
        <v>0</v>
      </c>
    </row>
    <row r="58" spans="1:8" s="97" customFormat="1" ht="12" x14ac:dyDescent="0.2">
      <c r="A58" s="112" t="s">
        <v>294</v>
      </c>
      <c r="B58" s="123" t="s">
        <v>542</v>
      </c>
      <c r="C58" s="113" t="s">
        <v>76</v>
      </c>
      <c r="D58" s="113" t="s">
        <v>93</v>
      </c>
      <c r="E58" s="130">
        <v>200</v>
      </c>
      <c r="F58" s="114">
        <f>F59</f>
        <v>1000</v>
      </c>
      <c r="G58" s="285">
        <f t="shared" si="13"/>
        <v>0</v>
      </c>
      <c r="H58" s="284">
        <f t="shared" si="3"/>
        <v>0</v>
      </c>
    </row>
    <row r="59" spans="1:8" s="97" customFormat="1" ht="12" x14ac:dyDescent="0.2">
      <c r="A59" s="112" t="s">
        <v>85</v>
      </c>
      <c r="B59" s="123" t="s">
        <v>542</v>
      </c>
      <c r="C59" s="113" t="s">
        <v>76</v>
      </c>
      <c r="D59" s="113" t="s">
        <v>93</v>
      </c>
      <c r="E59" s="130">
        <v>240</v>
      </c>
      <c r="F59" s="114">
        <v>1000</v>
      </c>
      <c r="G59" s="285">
        <v>0</v>
      </c>
      <c r="H59" s="284">
        <f t="shared" si="3"/>
        <v>0</v>
      </c>
    </row>
    <row r="60" spans="1:8" s="97" customFormat="1" ht="12" x14ac:dyDescent="0.2">
      <c r="A60" s="103" t="s">
        <v>543</v>
      </c>
      <c r="B60" s="135" t="s">
        <v>544</v>
      </c>
      <c r="C60" s="104"/>
      <c r="D60" s="104"/>
      <c r="E60" s="143"/>
      <c r="F60" s="105">
        <f>F61</f>
        <v>1700</v>
      </c>
      <c r="G60" s="284">
        <f t="shared" ref="G60:G63" si="14">G61</f>
        <v>0</v>
      </c>
      <c r="H60" s="284">
        <f t="shared" si="3"/>
        <v>0</v>
      </c>
    </row>
    <row r="61" spans="1:8" s="97" customFormat="1" ht="12" x14ac:dyDescent="0.2">
      <c r="A61" s="60" t="s">
        <v>114</v>
      </c>
      <c r="B61" s="135" t="s">
        <v>544</v>
      </c>
      <c r="C61" s="104" t="s">
        <v>76</v>
      </c>
      <c r="D61" s="104"/>
      <c r="E61" s="143"/>
      <c r="F61" s="127">
        <f>F62</f>
        <v>1700</v>
      </c>
      <c r="G61" s="284">
        <f t="shared" si="14"/>
        <v>0</v>
      </c>
      <c r="H61" s="284">
        <f t="shared" si="3"/>
        <v>0</v>
      </c>
    </row>
    <row r="62" spans="1:8" s="97" customFormat="1" ht="12" x14ac:dyDescent="0.2">
      <c r="A62" s="60" t="s">
        <v>411</v>
      </c>
      <c r="B62" s="135" t="s">
        <v>544</v>
      </c>
      <c r="C62" s="104" t="s">
        <v>76</v>
      </c>
      <c r="D62" s="104" t="s">
        <v>93</v>
      </c>
      <c r="E62" s="143"/>
      <c r="F62" s="127">
        <f>F63</f>
        <v>1700</v>
      </c>
      <c r="G62" s="284">
        <f t="shared" si="14"/>
        <v>0</v>
      </c>
      <c r="H62" s="284">
        <f t="shared" si="3"/>
        <v>0</v>
      </c>
    </row>
    <row r="63" spans="1:8" s="97" customFormat="1" ht="12" x14ac:dyDescent="0.2">
      <c r="A63" s="112" t="s">
        <v>294</v>
      </c>
      <c r="B63" s="123" t="s">
        <v>544</v>
      </c>
      <c r="C63" s="113" t="s">
        <v>76</v>
      </c>
      <c r="D63" s="113" t="s">
        <v>93</v>
      </c>
      <c r="E63" s="130">
        <v>200</v>
      </c>
      <c r="F63" s="114">
        <f>F64</f>
        <v>1700</v>
      </c>
      <c r="G63" s="285">
        <f t="shared" si="14"/>
        <v>0</v>
      </c>
      <c r="H63" s="284">
        <f t="shared" si="3"/>
        <v>0</v>
      </c>
    </row>
    <row r="64" spans="1:8" s="97" customFormat="1" ht="12" x14ac:dyDescent="0.2">
      <c r="A64" s="112" t="s">
        <v>85</v>
      </c>
      <c r="B64" s="123" t="s">
        <v>544</v>
      </c>
      <c r="C64" s="113" t="s">
        <v>76</v>
      </c>
      <c r="D64" s="113" t="s">
        <v>93</v>
      </c>
      <c r="E64" s="130">
        <v>240</v>
      </c>
      <c r="F64" s="114">
        <v>1700</v>
      </c>
      <c r="G64" s="285">
        <v>0</v>
      </c>
      <c r="H64" s="284">
        <f t="shared" si="3"/>
        <v>0</v>
      </c>
    </row>
    <row r="65" spans="1:8" s="97" customFormat="1" ht="40.5" x14ac:dyDescent="0.2">
      <c r="A65" s="124" t="s">
        <v>562</v>
      </c>
      <c r="B65" s="182" t="s">
        <v>250</v>
      </c>
      <c r="C65" s="125"/>
      <c r="D65" s="125"/>
      <c r="E65" s="125"/>
      <c r="F65" s="183">
        <f>F66</f>
        <v>1500</v>
      </c>
      <c r="G65" s="183">
        <f t="shared" ref="G65:G69" si="15">G66</f>
        <v>1005</v>
      </c>
      <c r="H65" s="183">
        <f>G65/F65*100</f>
        <v>67</v>
      </c>
    </row>
    <row r="66" spans="1:8" s="97" customFormat="1" ht="24" x14ac:dyDescent="0.2">
      <c r="A66" s="134" t="s">
        <v>49</v>
      </c>
      <c r="B66" s="135" t="s">
        <v>563</v>
      </c>
      <c r="C66" s="104"/>
      <c r="D66" s="104"/>
      <c r="E66" s="104"/>
      <c r="F66" s="105">
        <f>F67</f>
        <v>1500</v>
      </c>
      <c r="G66" s="105">
        <f t="shared" si="15"/>
        <v>1005</v>
      </c>
      <c r="H66" s="127">
        <f t="shared" si="3"/>
        <v>67</v>
      </c>
    </row>
    <row r="67" spans="1:8" s="97" customFormat="1" ht="12" x14ac:dyDescent="0.2">
      <c r="A67" s="65" t="s">
        <v>389</v>
      </c>
      <c r="B67" s="135" t="s">
        <v>563</v>
      </c>
      <c r="C67" s="22" t="s">
        <v>501</v>
      </c>
      <c r="D67" s="22"/>
      <c r="E67" s="22"/>
      <c r="F67" s="38">
        <f>F68</f>
        <v>1500</v>
      </c>
      <c r="G67" s="38">
        <f t="shared" si="15"/>
        <v>1005</v>
      </c>
      <c r="H67" s="127">
        <f t="shared" si="3"/>
        <v>67</v>
      </c>
    </row>
    <row r="68" spans="1:8" s="97" customFormat="1" ht="12" x14ac:dyDescent="0.2">
      <c r="A68" s="65" t="s">
        <v>377</v>
      </c>
      <c r="B68" s="135" t="s">
        <v>563</v>
      </c>
      <c r="C68" s="22" t="s">
        <v>501</v>
      </c>
      <c r="D68" s="22" t="s">
        <v>469</v>
      </c>
      <c r="E68" s="22"/>
      <c r="F68" s="38">
        <f>F69</f>
        <v>1500</v>
      </c>
      <c r="G68" s="38">
        <f t="shared" si="15"/>
        <v>1005</v>
      </c>
      <c r="H68" s="127">
        <f t="shared" si="3"/>
        <v>67</v>
      </c>
    </row>
    <row r="69" spans="1:8" s="97" customFormat="1" ht="12" x14ac:dyDescent="0.2">
      <c r="A69" s="112" t="s">
        <v>95</v>
      </c>
      <c r="B69" s="123" t="s">
        <v>563</v>
      </c>
      <c r="C69" s="113" t="s">
        <v>501</v>
      </c>
      <c r="D69" s="113" t="s">
        <v>469</v>
      </c>
      <c r="E69" s="113" t="s">
        <v>94</v>
      </c>
      <c r="F69" s="114">
        <f>F70</f>
        <v>1500</v>
      </c>
      <c r="G69" s="114">
        <f t="shared" si="15"/>
        <v>1005</v>
      </c>
      <c r="H69" s="128">
        <f t="shared" si="3"/>
        <v>67</v>
      </c>
    </row>
    <row r="70" spans="1:8" s="97" customFormat="1" ht="12" x14ac:dyDescent="0.2">
      <c r="A70" s="112" t="s">
        <v>155</v>
      </c>
      <c r="B70" s="123" t="s">
        <v>563</v>
      </c>
      <c r="C70" s="113" t="s">
        <v>501</v>
      </c>
      <c r="D70" s="113" t="s">
        <v>469</v>
      </c>
      <c r="E70" s="113" t="s">
        <v>504</v>
      </c>
      <c r="F70" s="114">
        <v>1500</v>
      </c>
      <c r="G70" s="114">
        <v>1005</v>
      </c>
      <c r="H70" s="128">
        <f t="shared" si="3"/>
        <v>67</v>
      </c>
    </row>
    <row r="71" spans="1:8" s="97" customFormat="1" ht="27" x14ac:dyDescent="0.2">
      <c r="A71" s="124" t="s">
        <v>576</v>
      </c>
      <c r="B71" s="125" t="s">
        <v>231</v>
      </c>
      <c r="C71" s="125"/>
      <c r="D71" s="125"/>
      <c r="E71" s="125"/>
      <c r="F71" s="183">
        <f>F72+F90+F96+F137</f>
        <v>1038769.5774599999</v>
      </c>
      <c r="G71" s="183">
        <f t="shared" ref="G71" si="16">G72+G90+G96+G137</f>
        <v>980932.8884099999</v>
      </c>
      <c r="H71" s="183">
        <f>G71/F71*100</f>
        <v>94.432192633960042</v>
      </c>
    </row>
    <row r="72" spans="1:8" s="97" customFormat="1" ht="12" x14ac:dyDescent="0.2">
      <c r="A72" s="117" t="s">
        <v>99</v>
      </c>
      <c r="B72" s="118" t="s">
        <v>232</v>
      </c>
      <c r="C72" s="118"/>
      <c r="D72" s="118"/>
      <c r="E72" s="118"/>
      <c r="F72" s="119">
        <f>F73+F78+F85</f>
        <v>6898.35</v>
      </c>
      <c r="G72" s="119">
        <f t="shared" ref="G72" si="17">G73+G78+G85</f>
        <v>6303.2292500000003</v>
      </c>
      <c r="H72" s="129">
        <f t="shared" si="3"/>
        <v>91.372998615610982</v>
      </c>
    </row>
    <row r="73" spans="1:8" s="99" customFormat="1" ht="12" x14ac:dyDescent="0.2">
      <c r="A73" s="120" t="s">
        <v>296</v>
      </c>
      <c r="B73" s="104" t="s">
        <v>323</v>
      </c>
      <c r="C73" s="104"/>
      <c r="D73" s="104"/>
      <c r="E73" s="104"/>
      <c r="F73" s="105">
        <f>F74</f>
        <v>5270</v>
      </c>
      <c r="G73" s="105">
        <f t="shared" ref="G73:G76" si="18">G74</f>
        <v>4772.9246000000003</v>
      </c>
      <c r="H73" s="127">
        <f t="shared" si="3"/>
        <v>90.567829222011383</v>
      </c>
    </row>
    <row r="74" spans="1:8" s="99" customFormat="1" ht="12" x14ac:dyDescent="0.2">
      <c r="A74" s="62" t="s">
        <v>353</v>
      </c>
      <c r="B74" s="104" t="s">
        <v>323</v>
      </c>
      <c r="C74" s="22" t="s">
        <v>78</v>
      </c>
      <c r="D74" s="22"/>
      <c r="E74" s="22"/>
      <c r="F74" s="38">
        <f>F75</f>
        <v>5270</v>
      </c>
      <c r="G74" s="38">
        <f t="shared" si="18"/>
        <v>4772.9246000000003</v>
      </c>
      <c r="H74" s="127">
        <f t="shared" si="3"/>
        <v>90.567829222011383</v>
      </c>
    </row>
    <row r="75" spans="1:8" s="99" customFormat="1" ht="12" x14ac:dyDescent="0.2">
      <c r="A75" s="61" t="s">
        <v>357</v>
      </c>
      <c r="B75" s="104" t="s">
        <v>323</v>
      </c>
      <c r="C75" s="22" t="s">
        <v>78</v>
      </c>
      <c r="D75" s="22" t="s">
        <v>474</v>
      </c>
      <c r="E75" s="22"/>
      <c r="F75" s="38">
        <f>F76</f>
        <v>5270</v>
      </c>
      <c r="G75" s="38">
        <f t="shared" si="18"/>
        <v>4772.9246000000003</v>
      </c>
      <c r="H75" s="127">
        <f t="shared" si="3"/>
        <v>90.567829222011383</v>
      </c>
    </row>
    <row r="76" spans="1:8" s="99" customFormat="1" ht="36" x14ac:dyDescent="0.2">
      <c r="A76" s="112" t="s">
        <v>79</v>
      </c>
      <c r="B76" s="113" t="s">
        <v>323</v>
      </c>
      <c r="C76" s="113" t="s">
        <v>78</v>
      </c>
      <c r="D76" s="113" t="s">
        <v>474</v>
      </c>
      <c r="E76" s="113" t="s">
        <v>80</v>
      </c>
      <c r="F76" s="114">
        <f>F77</f>
        <v>5270</v>
      </c>
      <c r="G76" s="114">
        <f t="shared" si="18"/>
        <v>4772.9246000000003</v>
      </c>
      <c r="H76" s="128">
        <f t="shared" si="3"/>
        <v>90.567829222011383</v>
      </c>
    </row>
    <row r="77" spans="1:8" s="99" customFormat="1" ht="12" x14ac:dyDescent="0.2">
      <c r="A77" s="112" t="s">
        <v>81</v>
      </c>
      <c r="B77" s="113" t="s">
        <v>323</v>
      </c>
      <c r="C77" s="113" t="s">
        <v>78</v>
      </c>
      <c r="D77" s="113" t="s">
        <v>474</v>
      </c>
      <c r="E77" s="113" t="s">
        <v>82</v>
      </c>
      <c r="F77" s="114">
        <v>5270</v>
      </c>
      <c r="G77" s="114">
        <v>4772.9246000000003</v>
      </c>
      <c r="H77" s="128">
        <f t="shared" si="3"/>
        <v>90.567829222011383</v>
      </c>
    </row>
    <row r="78" spans="1:8" s="99" customFormat="1" ht="12" x14ac:dyDescent="0.2">
      <c r="A78" s="103" t="s">
        <v>83</v>
      </c>
      <c r="B78" s="104" t="s">
        <v>324</v>
      </c>
      <c r="C78" s="104"/>
      <c r="D78" s="104"/>
      <c r="E78" s="104"/>
      <c r="F78" s="105">
        <f>F79</f>
        <v>263</v>
      </c>
      <c r="G78" s="105">
        <f t="shared" ref="G78:G79" si="19">G79</f>
        <v>164.95565000000002</v>
      </c>
      <c r="H78" s="127">
        <f t="shared" ref="H78:H141" si="20">G78/F78*100</f>
        <v>62.720779467680622</v>
      </c>
    </row>
    <row r="79" spans="1:8" s="99" customFormat="1" ht="12" x14ac:dyDescent="0.2">
      <c r="A79" s="62" t="s">
        <v>353</v>
      </c>
      <c r="B79" s="104" t="s">
        <v>324</v>
      </c>
      <c r="C79" s="22" t="s">
        <v>78</v>
      </c>
      <c r="D79" s="22"/>
      <c r="E79" s="104"/>
      <c r="F79" s="105">
        <f>F80</f>
        <v>263</v>
      </c>
      <c r="G79" s="105">
        <f t="shared" si="19"/>
        <v>164.95565000000002</v>
      </c>
      <c r="H79" s="127">
        <f t="shared" si="20"/>
        <v>62.720779467680622</v>
      </c>
    </row>
    <row r="80" spans="1:8" s="99" customFormat="1" ht="12" x14ac:dyDescent="0.2">
      <c r="A80" s="61" t="s">
        <v>357</v>
      </c>
      <c r="B80" s="104" t="s">
        <v>324</v>
      </c>
      <c r="C80" s="22" t="s">
        <v>78</v>
      </c>
      <c r="D80" s="22" t="s">
        <v>474</v>
      </c>
      <c r="E80" s="104"/>
      <c r="F80" s="105">
        <f>F81+F83</f>
        <v>263</v>
      </c>
      <c r="G80" s="105">
        <f t="shared" ref="G80" si="21">G81+G83</f>
        <v>164.95565000000002</v>
      </c>
      <c r="H80" s="127">
        <f t="shared" si="20"/>
        <v>62.720779467680622</v>
      </c>
    </row>
    <row r="81" spans="1:8" s="99" customFormat="1" ht="12" x14ac:dyDescent="0.2">
      <c r="A81" s="112" t="s">
        <v>582</v>
      </c>
      <c r="B81" s="113" t="s">
        <v>324</v>
      </c>
      <c r="C81" s="113" t="s">
        <v>78</v>
      </c>
      <c r="D81" s="113" t="s">
        <v>474</v>
      </c>
      <c r="E81" s="113" t="s">
        <v>84</v>
      </c>
      <c r="F81" s="114">
        <f>F82</f>
        <v>257</v>
      </c>
      <c r="G81" s="114">
        <f t="shared" ref="G81" si="22">G82</f>
        <v>162.25058000000001</v>
      </c>
      <c r="H81" s="128">
        <f t="shared" si="20"/>
        <v>63.132521400778217</v>
      </c>
    </row>
    <row r="82" spans="1:8" s="99" customFormat="1" ht="12" x14ac:dyDescent="0.2">
      <c r="A82" s="112" t="s">
        <v>85</v>
      </c>
      <c r="B82" s="113" t="s">
        <v>324</v>
      </c>
      <c r="C82" s="113" t="s">
        <v>78</v>
      </c>
      <c r="D82" s="113" t="s">
        <v>474</v>
      </c>
      <c r="E82" s="113" t="s">
        <v>86</v>
      </c>
      <c r="F82" s="114">
        <f>260-3</f>
        <v>257</v>
      </c>
      <c r="G82" s="114">
        <v>162.25058000000001</v>
      </c>
      <c r="H82" s="128">
        <f t="shared" si="20"/>
        <v>63.132521400778217</v>
      </c>
    </row>
    <row r="83" spans="1:8" s="99" customFormat="1" ht="12" x14ac:dyDescent="0.2">
      <c r="A83" s="112" t="s">
        <v>87</v>
      </c>
      <c r="B83" s="113" t="s">
        <v>324</v>
      </c>
      <c r="C83" s="113" t="s">
        <v>78</v>
      </c>
      <c r="D83" s="113" t="s">
        <v>474</v>
      </c>
      <c r="E83" s="113" t="s">
        <v>88</v>
      </c>
      <c r="F83" s="128">
        <f>F84</f>
        <v>6</v>
      </c>
      <c r="G83" s="128">
        <f t="shared" ref="G83" si="23">G84</f>
        <v>2.7050700000000001</v>
      </c>
      <c r="H83" s="128">
        <f t="shared" si="20"/>
        <v>45.084499999999998</v>
      </c>
    </row>
    <row r="84" spans="1:8" s="99" customFormat="1" ht="12" x14ac:dyDescent="0.2">
      <c r="A84" s="112" t="s">
        <v>154</v>
      </c>
      <c r="B84" s="113" t="s">
        <v>324</v>
      </c>
      <c r="C84" s="113" t="s">
        <v>78</v>
      </c>
      <c r="D84" s="113" t="s">
        <v>474</v>
      </c>
      <c r="E84" s="113" t="s">
        <v>89</v>
      </c>
      <c r="F84" s="128">
        <v>6</v>
      </c>
      <c r="G84" s="128">
        <v>2.7050700000000001</v>
      </c>
      <c r="H84" s="128">
        <f t="shared" si="20"/>
        <v>45.084499999999998</v>
      </c>
    </row>
    <row r="85" spans="1:8" s="99" customFormat="1" ht="12" x14ac:dyDescent="0.2">
      <c r="A85" s="103" t="s">
        <v>223</v>
      </c>
      <c r="B85" s="22" t="s">
        <v>743</v>
      </c>
      <c r="C85" s="23"/>
      <c r="D85" s="23"/>
      <c r="E85" s="22"/>
      <c r="F85" s="105">
        <f>F86</f>
        <v>1365.35</v>
      </c>
      <c r="G85" s="105">
        <f t="shared" ref="G85:G88" si="24">G86</f>
        <v>1365.3489999999999</v>
      </c>
      <c r="H85" s="127">
        <f t="shared" si="20"/>
        <v>99.999926758706565</v>
      </c>
    </row>
    <row r="86" spans="1:8" s="99" customFormat="1" ht="12" x14ac:dyDescent="0.2">
      <c r="A86" s="62" t="s">
        <v>353</v>
      </c>
      <c r="B86" s="22" t="s">
        <v>743</v>
      </c>
      <c r="C86" s="22" t="s">
        <v>78</v>
      </c>
      <c r="D86" s="23"/>
      <c r="E86" s="22"/>
      <c r="F86" s="105">
        <f>F87</f>
        <v>1365.35</v>
      </c>
      <c r="G86" s="105">
        <f t="shared" si="24"/>
        <v>1365.3489999999999</v>
      </c>
      <c r="H86" s="127">
        <f t="shared" si="20"/>
        <v>99.999926758706565</v>
      </c>
    </row>
    <row r="87" spans="1:8" s="99" customFormat="1" ht="12" x14ac:dyDescent="0.2">
      <c r="A87" s="49" t="s">
        <v>380</v>
      </c>
      <c r="B87" s="22" t="s">
        <v>743</v>
      </c>
      <c r="C87" s="22" t="s">
        <v>78</v>
      </c>
      <c r="D87" s="22" t="s">
        <v>470</v>
      </c>
      <c r="E87" s="22"/>
      <c r="F87" s="105">
        <f>F88</f>
        <v>1365.35</v>
      </c>
      <c r="G87" s="105">
        <f t="shared" si="24"/>
        <v>1365.3489999999999</v>
      </c>
      <c r="H87" s="127">
        <f t="shared" si="20"/>
        <v>99.999926758706565</v>
      </c>
    </row>
    <row r="88" spans="1:8" s="99" customFormat="1" ht="12" x14ac:dyDescent="0.2">
      <c r="A88" s="68" t="s">
        <v>294</v>
      </c>
      <c r="B88" s="29" t="s">
        <v>743</v>
      </c>
      <c r="C88" s="29" t="s">
        <v>78</v>
      </c>
      <c r="D88" s="29" t="s">
        <v>470</v>
      </c>
      <c r="E88" s="29" t="s">
        <v>84</v>
      </c>
      <c r="F88" s="114">
        <f>F89</f>
        <v>1365.35</v>
      </c>
      <c r="G88" s="114">
        <f t="shared" si="24"/>
        <v>1365.3489999999999</v>
      </c>
      <c r="H88" s="128">
        <f t="shared" si="20"/>
        <v>99.999926758706565</v>
      </c>
    </row>
    <row r="89" spans="1:8" s="99" customFormat="1" ht="12" x14ac:dyDescent="0.2">
      <c r="A89" s="68" t="s">
        <v>85</v>
      </c>
      <c r="B89" s="29" t="s">
        <v>743</v>
      </c>
      <c r="C89" s="29" t="s">
        <v>78</v>
      </c>
      <c r="D89" s="29" t="s">
        <v>470</v>
      </c>
      <c r="E89" s="29" t="s">
        <v>86</v>
      </c>
      <c r="F89" s="114">
        <v>1365.35</v>
      </c>
      <c r="G89" s="114">
        <v>1365.3489999999999</v>
      </c>
      <c r="H89" s="128">
        <f t="shared" si="20"/>
        <v>99.999926758706565</v>
      </c>
    </row>
    <row r="90" spans="1:8" s="99" customFormat="1" ht="12" x14ac:dyDescent="0.2">
      <c r="A90" s="121" t="s">
        <v>325</v>
      </c>
      <c r="B90" s="122" t="s">
        <v>326</v>
      </c>
      <c r="C90" s="118"/>
      <c r="D90" s="118"/>
      <c r="E90" s="118"/>
      <c r="F90" s="119">
        <f>F91</f>
        <v>70747.760000000009</v>
      </c>
      <c r="G90" s="119">
        <f t="shared" ref="G90:G94" si="25">G91</f>
        <v>70747.759999999995</v>
      </c>
      <c r="H90" s="129">
        <f t="shared" si="20"/>
        <v>99.999999999999972</v>
      </c>
    </row>
    <row r="91" spans="1:8" s="99" customFormat="1" ht="24" x14ac:dyDescent="0.2">
      <c r="A91" s="121" t="s">
        <v>577</v>
      </c>
      <c r="B91" s="122" t="s">
        <v>578</v>
      </c>
      <c r="C91" s="118"/>
      <c r="D91" s="118"/>
      <c r="E91" s="118"/>
      <c r="F91" s="119">
        <f>F92</f>
        <v>70747.760000000009</v>
      </c>
      <c r="G91" s="119">
        <f t="shared" si="25"/>
        <v>70747.759999999995</v>
      </c>
      <c r="H91" s="129">
        <f t="shared" si="20"/>
        <v>99.999999999999972</v>
      </c>
    </row>
    <row r="92" spans="1:8" s="99" customFormat="1" ht="12" x14ac:dyDescent="0.2">
      <c r="A92" s="62" t="s">
        <v>353</v>
      </c>
      <c r="B92" s="135" t="s">
        <v>578</v>
      </c>
      <c r="C92" s="22" t="s">
        <v>78</v>
      </c>
      <c r="D92" s="22"/>
      <c r="E92" s="118"/>
      <c r="F92" s="105">
        <f>F93</f>
        <v>70747.760000000009</v>
      </c>
      <c r="G92" s="105">
        <f t="shared" si="25"/>
        <v>70747.759999999995</v>
      </c>
      <c r="H92" s="127">
        <f t="shared" si="20"/>
        <v>99.999999999999972</v>
      </c>
    </row>
    <row r="93" spans="1:8" s="99" customFormat="1" ht="12" x14ac:dyDescent="0.2">
      <c r="A93" s="61" t="s">
        <v>357</v>
      </c>
      <c r="B93" s="135" t="s">
        <v>578</v>
      </c>
      <c r="C93" s="22" t="s">
        <v>78</v>
      </c>
      <c r="D93" s="22" t="s">
        <v>474</v>
      </c>
      <c r="E93" s="118"/>
      <c r="F93" s="105">
        <f>F94</f>
        <v>70747.760000000009</v>
      </c>
      <c r="G93" s="105">
        <f t="shared" si="25"/>
        <v>70747.759999999995</v>
      </c>
      <c r="H93" s="127">
        <f t="shared" si="20"/>
        <v>99.999999999999972</v>
      </c>
    </row>
    <row r="94" spans="1:8" s="99" customFormat="1" ht="12" x14ac:dyDescent="0.2">
      <c r="A94" s="112" t="s">
        <v>87</v>
      </c>
      <c r="B94" s="123" t="s">
        <v>578</v>
      </c>
      <c r="C94" s="113" t="s">
        <v>78</v>
      </c>
      <c r="D94" s="113" t="s">
        <v>474</v>
      </c>
      <c r="E94" s="113" t="s">
        <v>88</v>
      </c>
      <c r="F94" s="114">
        <f>F95</f>
        <v>70747.760000000009</v>
      </c>
      <c r="G94" s="114">
        <f t="shared" si="25"/>
        <v>70747.759999999995</v>
      </c>
      <c r="H94" s="128">
        <f t="shared" si="20"/>
        <v>99.999999999999972</v>
      </c>
    </row>
    <row r="95" spans="1:8" s="99" customFormat="1" ht="24" x14ac:dyDescent="0.2">
      <c r="A95" s="112" t="s">
        <v>579</v>
      </c>
      <c r="B95" s="123" t="s">
        <v>578</v>
      </c>
      <c r="C95" s="113" t="s">
        <v>78</v>
      </c>
      <c r="D95" s="113" t="s">
        <v>474</v>
      </c>
      <c r="E95" s="113" t="s">
        <v>414</v>
      </c>
      <c r="F95" s="114">
        <f>63000-2252.24+10000</f>
        <v>70747.760000000009</v>
      </c>
      <c r="G95" s="114">
        <v>70747.759999999995</v>
      </c>
      <c r="H95" s="128">
        <f t="shared" si="20"/>
        <v>99.999999999999972</v>
      </c>
    </row>
    <row r="96" spans="1:8" s="99" customFormat="1" ht="36" x14ac:dyDescent="0.2">
      <c r="A96" s="121" t="s">
        <v>580</v>
      </c>
      <c r="B96" s="122" t="s">
        <v>327</v>
      </c>
      <c r="C96" s="118"/>
      <c r="D96" s="118"/>
      <c r="E96" s="118"/>
      <c r="F96" s="119">
        <f>F97++F104+F109+F116+F123+F130</f>
        <v>921014.16745999991</v>
      </c>
      <c r="G96" s="119">
        <f t="shared" ref="G96" si="26">G97++G104+G109+G116+G123+G130</f>
        <v>864212.41119999997</v>
      </c>
      <c r="H96" s="127">
        <f t="shared" si="20"/>
        <v>93.832694624378092</v>
      </c>
    </row>
    <row r="97" spans="1:8" s="99" customFormat="1" ht="24" x14ac:dyDescent="0.2">
      <c r="A97" s="103" t="s">
        <v>234</v>
      </c>
      <c r="B97" s="104" t="s">
        <v>581</v>
      </c>
      <c r="C97" s="104"/>
      <c r="D97" s="104"/>
      <c r="E97" s="104"/>
      <c r="F97" s="105">
        <f>F98</f>
        <v>25938.064190000001</v>
      </c>
      <c r="G97" s="105">
        <f t="shared" ref="G97:G98" si="27">G98</f>
        <v>22664.420110000003</v>
      </c>
      <c r="H97" s="127">
        <f t="shared" si="20"/>
        <v>87.378996150136373</v>
      </c>
    </row>
    <row r="98" spans="1:8" s="99" customFormat="1" ht="12" x14ac:dyDescent="0.2">
      <c r="A98" s="49" t="s">
        <v>353</v>
      </c>
      <c r="B98" s="104" t="s">
        <v>581</v>
      </c>
      <c r="C98" s="22" t="s">
        <v>78</v>
      </c>
      <c r="D98" s="22"/>
      <c r="E98" s="104"/>
      <c r="F98" s="105">
        <f>F99</f>
        <v>25938.064190000001</v>
      </c>
      <c r="G98" s="105">
        <f t="shared" si="27"/>
        <v>22664.420110000003</v>
      </c>
      <c r="H98" s="127">
        <f t="shared" si="20"/>
        <v>87.378996150136373</v>
      </c>
    </row>
    <row r="99" spans="1:8" s="99" customFormat="1" ht="12" x14ac:dyDescent="0.2">
      <c r="A99" s="49" t="s">
        <v>380</v>
      </c>
      <c r="B99" s="104" t="s">
        <v>581</v>
      </c>
      <c r="C99" s="22" t="s">
        <v>78</v>
      </c>
      <c r="D99" s="22" t="s">
        <v>470</v>
      </c>
      <c r="E99" s="104"/>
      <c r="F99" s="105">
        <f>F100+F102</f>
        <v>25938.064190000001</v>
      </c>
      <c r="G99" s="105">
        <f t="shared" ref="G99" si="28">G100+G102</f>
        <v>22664.420110000003</v>
      </c>
      <c r="H99" s="127">
        <f t="shared" si="20"/>
        <v>87.378996150136373</v>
      </c>
    </row>
    <row r="100" spans="1:8" s="99" customFormat="1" ht="12" x14ac:dyDescent="0.2">
      <c r="A100" s="112" t="s">
        <v>582</v>
      </c>
      <c r="B100" s="113" t="s">
        <v>581</v>
      </c>
      <c r="C100" s="113" t="s">
        <v>78</v>
      </c>
      <c r="D100" s="113" t="s">
        <v>470</v>
      </c>
      <c r="E100" s="113" t="s">
        <v>84</v>
      </c>
      <c r="F100" s="114">
        <f>F101</f>
        <v>25301.39819</v>
      </c>
      <c r="G100" s="114">
        <f t="shared" ref="G100" si="29">G101</f>
        <v>22027.754110000002</v>
      </c>
      <c r="H100" s="128">
        <f t="shared" si="20"/>
        <v>87.061410379708363</v>
      </c>
    </row>
    <row r="101" spans="1:8" s="99" customFormat="1" ht="12" x14ac:dyDescent="0.2">
      <c r="A101" s="112" t="s">
        <v>85</v>
      </c>
      <c r="B101" s="113" t="s">
        <v>581</v>
      </c>
      <c r="C101" s="113" t="s">
        <v>78</v>
      </c>
      <c r="D101" s="113" t="s">
        <v>470</v>
      </c>
      <c r="E101" s="113" t="s">
        <v>86</v>
      </c>
      <c r="F101" s="114">
        <f>19534+8181.06419-636.666-1777</f>
        <v>25301.39819</v>
      </c>
      <c r="G101" s="114">
        <v>22027.754110000002</v>
      </c>
      <c r="H101" s="128">
        <f t="shared" si="20"/>
        <v>87.061410379708363</v>
      </c>
    </row>
    <row r="102" spans="1:8" s="99" customFormat="1" ht="24" x14ac:dyDescent="0.2">
      <c r="A102" s="112" t="s">
        <v>417</v>
      </c>
      <c r="B102" s="113" t="s">
        <v>581</v>
      </c>
      <c r="C102" s="113" t="s">
        <v>78</v>
      </c>
      <c r="D102" s="113" t="s">
        <v>470</v>
      </c>
      <c r="E102" s="113" t="s">
        <v>418</v>
      </c>
      <c r="F102" s="114">
        <f>F103</f>
        <v>636.66600000000005</v>
      </c>
      <c r="G102" s="114">
        <f t="shared" ref="G102" si="30">G103</f>
        <v>636.66600000000005</v>
      </c>
      <c r="H102" s="128">
        <f t="shared" si="20"/>
        <v>100</v>
      </c>
    </row>
    <row r="103" spans="1:8" s="99" customFormat="1" ht="12" x14ac:dyDescent="0.2">
      <c r="A103" s="112" t="s">
        <v>419</v>
      </c>
      <c r="B103" s="113" t="s">
        <v>581</v>
      </c>
      <c r="C103" s="113" t="s">
        <v>78</v>
      </c>
      <c r="D103" s="113" t="s">
        <v>470</v>
      </c>
      <c r="E103" s="113" t="s">
        <v>420</v>
      </c>
      <c r="F103" s="114">
        <v>636.66600000000005</v>
      </c>
      <c r="G103" s="114">
        <v>636.66600000000005</v>
      </c>
      <c r="H103" s="128">
        <f t="shared" si="20"/>
        <v>100</v>
      </c>
    </row>
    <row r="104" spans="1:8" s="99" customFormat="1" ht="12" x14ac:dyDescent="0.2">
      <c r="A104" s="103" t="s">
        <v>223</v>
      </c>
      <c r="B104" s="104" t="s">
        <v>583</v>
      </c>
      <c r="C104" s="104"/>
      <c r="D104" s="104"/>
      <c r="E104" s="104"/>
      <c r="F104" s="105">
        <f>F105</f>
        <v>33588.281269999999</v>
      </c>
      <c r="G104" s="105">
        <f t="shared" ref="G104:G107" si="31">G105</f>
        <v>32038.221430000001</v>
      </c>
      <c r="H104" s="127">
        <f t="shared" si="20"/>
        <v>95.385117126000537</v>
      </c>
    </row>
    <row r="105" spans="1:8" s="99" customFormat="1" ht="12" x14ac:dyDescent="0.2">
      <c r="A105" s="49" t="s">
        <v>353</v>
      </c>
      <c r="B105" s="104" t="s">
        <v>583</v>
      </c>
      <c r="C105" s="22" t="s">
        <v>78</v>
      </c>
      <c r="D105" s="22"/>
      <c r="E105" s="104"/>
      <c r="F105" s="105">
        <f>F106</f>
        <v>33588.281269999999</v>
      </c>
      <c r="G105" s="105">
        <f t="shared" si="31"/>
        <v>32038.221430000001</v>
      </c>
      <c r="H105" s="127">
        <f t="shared" si="20"/>
        <v>95.385117126000537</v>
      </c>
    </row>
    <row r="106" spans="1:8" s="99" customFormat="1" ht="12" x14ac:dyDescent="0.2">
      <c r="A106" s="49" t="s">
        <v>380</v>
      </c>
      <c r="B106" s="104" t="s">
        <v>583</v>
      </c>
      <c r="C106" s="22" t="s">
        <v>78</v>
      </c>
      <c r="D106" s="22" t="s">
        <v>470</v>
      </c>
      <c r="E106" s="104"/>
      <c r="F106" s="105">
        <f>F107</f>
        <v>33588.281269999999</v>
      </c>
      <c r="G106" s="105">
        <f t="shared" si="31"/>
        <v>32038.221430000001</v>
      </c>
      <c r="H106" s="127">
        <f t="shared" si="20"/>
        <v>95.385117126000537</v>
      </c>
    </row>
    <row r="107" spans="1:8" s="99" customFormat="1" ht="12" x14ac:dyDescent="0.2">
      <c r="A107" s="112" t="s">
        <v>582</v>
      </c>
      <c r="B107" s="113" t="s">
        <v>583</v>
      </c>
      <c r="C107" s="113" t="s">
        <v>78</v>
      </c>
      <c r="D107" s="113" t="s">
        <v>470</v>
      </c>
      <c r="E107" s="113" t="s">
        <v>84</v>
      </c>
      <c r="F107" s="114">
        <f>F108</f>
        <v>33588.281269999999</v>
      </c>
      <c r="G107" s="114">
        <f t="shared" si="31"/>
        <v>32038.221430000001</v>
      </c>
      <c r="H107" s="128">
        <f t="shared" si="20"/>
        <v>95.385117126000537</v>
      </c>
    </row>
    <row r="108" spans="1:8" s="99" customFormat="1" ht="12" x14ac:dyDescent="0.2">
      <c r="A108" s="112" t="s">
        <v>85</v>
      </c>
      <c r="B108" s="113" t="s">
        <v>583</v>
      </c>
      <c r="C108" s="113" t="s">
        <v>78</v>
      </c>
      <c r="D108" s="113" t="s">
        <v>470</v>
      </c>
      <c r="E108" s="113" t="s">
        <v>86</v>
      </c>
      <c r="F108" s="114">
        <f>37562-2232.72-1365.35-75-300.64873</f>
        <v>33588.281269999999</v>
      </c>
      <c r="G108" s="114">
        <v>32038.221430000001</v>
      </c>
      <c r="H108" s="128">
        <f t="shared" si="20"/>
        <v>95.385117126000537</v>
      </c>
    </row>
    <row r="109" spans="1:8" s="99" customFormat="1" ht="24" x14ac:dyDescent="0.2">
      <c r="A109" s="103" t="s">
        <v>584</v>
      </c>
      <c r="B109" s="104" t="s">
        <v>43</v>
      </c>
      <c r="C109" s="104"/>
      <c r="D109" s="104"/>
      <c r="E109" s="104"/>
      <c r="F109" s="127">
        <f>F110</f>
        <v>313475.59899999999</v>
      </c>
      <c r="G109" s="127">
        <f t="shared" ref="G109:G110" si="32">G110</f>
        <v>278851.46364999999</v>
      </c>
      <c r="H109" s="127">
        <f t="shared" si="20"/>
        <v>88.954759011402345</v>
      </c>
    </row>
    <row r="110" spans="1:8" s="99" customFormat="1" ht="12" x14ac:dyDescent="0.2">
      <c r="A110" s="49" t="s">
        <v>353</v>
      </c>
      <c r="B110" s="104" t="s">
        <v>43</v>
      </c>
      <c r="C110" s="22" t="s">
        <v>78</v>
      </c>
      <c r="D110" s="22"/>
      <c r="E110" s="118"/>
      <c r="F110" s="127">
        <f>F111</f>
        <v>313475.59899999999</v>
      </c>
      <c r="G110" s="127">
        <f t="shared" si="32"/>
        <v>278851.46364999999</v>
      </c>
      <c r="H110" s="127">
        <f t="shared" si="20"/>
        <v>88.954759011402345</v>
      </c>
    </row>
    <row r="111" spans="1:8" s="99" customFormat="1" ht="12" x14ac:dyDescent="0.2">
      <c r="A111" s="49" t="s">
        <v>380</v>
      </c>
      <c r="B111" s="104" t="s">
        <v>43</v>
      </c>
      <c r="C111" s="22" t="s">
        <v>78</v>
      </c>
      <c r="D111" s="22" t="s">
        <v>470</v>
      </c>
      <c r="E111" s="118"/>
      <c r="F111" s="127">
        <f>F112+F114</f>
        <v>313475.59899999999</v>
      </c>
      <c r="G111" s="127">
        <f t="shared" ref="G111" si="33">G112+G114</f>
        <v>278851.46364999999</v>
      </c>
      <c r="H111" s="127">
        <f t="shared" si="20"/>
        <v>88.954759011402345</v>
      </c>
    </row>
    <row r="112" spans="1:8" s="99" customFormat="1" ht="12" x14ac:dyDescent="0.2">
      <c r="A112" s="112" t="s">
        <v>582</v>
      </c>
      <c r="B112" s="113" t="s">
        <v>43</v>
      </c>
      <c r="C112" s="113" t="s">
        <v>78</v>
      </c>
      <c r="D112" s="113" t="s">
        <v>470</v>
      </c>
      <c r="E112" s="113" t="s">
        <v>84</v>
      </c>
      <c r="F112" s="128">
        <f>F113</f>
        <v>311100.59899999999</v>
      </c>
      <c r="G112" s="128">
        <f t="shared" ref="G112" si="34">G113</f>
        <v>276476.46364999999</v>
      </c>
      <c r="H112" s="128">
        <f t="shared" si="20"/>
        <v>88.870437581510402</v>
      </c>
    </row>
    <row r="113" spans="1:8" s="99" customFormat="1" ht="12" x14ac:dyDescent="0.2">
      <c r="A113" s="112" t="s">
        <v>85</v>
      </c>
      <c r="B113" s="113" t="s">
        <v>43</v>
      </c>
      <c r="C113" s="113" t="s">
        <v>78</v>
      </c>
      <c r="D113" s="113" t="s">
        <v>470</v>
      </c>
      <c r="E113" s="113" t="s">
        <v>86</v>
      </c>
      <c r="F113" s="128">
        <f>151753.82-24750-2375+150000+11721.779+10800+13950</f>
        <v>311100.59899999999</v>
      </c>
      <c r="G113" s="128">
        <v>276476.46364999999</v>
      </c>
      <c r="H113" s="128">
        <f t="shared" si="20"/>
        <v>88.870437581510402</v>
      </c>
    </row>
    <row r="114" spans="1:8" s="99" customFormat="1" ht="24" x14ac:dyDescent="0.2">
      <c r="A114" s="112" t="s">
        <v>417</v>
      </c>
      <c r="B114" s="113" t="s">
        <v>43</v>
      </c>
      <c r="C114" s="113" t="s">
        <v>78</v>
      </c>
      <c r="D114" s="113" t="s">
        <v>470</v>
      </c>
      <c r="E114" s="113" t="s">
        <v>418</v>
      </c>
      <c r="F114" s="128">
        <f>F115</f>
        <v>2375</v>
      </c>
      <c r="G114" s="128">
        <f t="shared" ref="G114" si="35">G115</f>
        <v>2375</v>
      </c>
      <c r="H114" s="128">
        <f t="shared" si="20"/>
        <v>100</v>
      </c>
    </row>
    <row r="115" spans="1:8" s="99" customFormat="1" ht="12" x14ac:dyDescent="0.2">
      <c r="A115" s="112" t="s">
        <v>419</v>
      </c>
      <c r="B115" s="113" t="s">
        <v>43</v>
      </c>
      <c r="C115" s="113" t="s">
        <v>78</v>
      </c>
      <c r="D115" s="113" t="s">
        <v>470</v>
      </c>
      <c r="E115" s="113" t="s">
        <v>420</v>
      </c>
      <c r="F115" s="128">
        <f>24750+2375-10800-13950</f>
        <v>2375</v>
      </c>
      <c r="G115" s="128">
        <v>2375</v>
      </c>
      <c r="H115" s="128">
        <f t="shared" si="20"/>
        <v>100</v>
      </c>
    </row>
    <row r="116" spans="1:8" s="99" customFormat="1" ht="24" x14ac:dyDescent="0.2">
      <c r="A116" s="103" t="s">
        <v>235</v>
      </c>
      <c r="B116" s="104" t="s">
        <v>44</v>
      </c>
      <c r="C116" s="104"/>
      <c r="D116" s="104"/>
      <c r="E116" s="104"/>
      <c r="F116" s="127">
        <f>F117</f>
        <v>19570.419999999998</v>
      </c>
      <c r="G116" s="127">
        <f t="shared" ref="G116:G117" si="36">G117</f>
        <v>14764.229009999999</v>
      </c>
      <c r="H116" s="127">
        <f t="shared" si="20"/>
        <v>75.441554192500732</v>
      </c>
    </row>
    <row r="117" spans="1:8" s="99" customFormat="1" ht="12" x14ac:dyDescent="0.2">
      <c r="A117" s="49" t="s">
        <v>353</v>
      </c>
      <c r="B117" s="104" t="s">
        <v>44</v>
      </c>
      <c r="C117" s="22" t="s">
        <v>78</v>
      </c>
      <c r="D117" s="22"/>
      <c r="E117" s="118"/>
      <c r="F117" s="127">
        <f>F118</f>
        <v>19570.419999999998</v>
      </c>
      <c r="G117" s="127">
        <f t="shared" si="36"/>
        <v>14764.229009999999</v>
      </c>
      <c r="H117" s="127">
        <f t="shared" si="20"/>
        <v>75.441554192500732</v>
      </c>
    </row>
    <row r="118" spans="1:8" s="99" customFormat="1" ht="12" x14ac:dyDescent="0.2">
      <c r="A118" s="49" t="s">
        <v>380</v>
      </c>
      <c r="B118" s="104" t="s">
        <v>44</v>
      </c>
      <c r="C118" s="22" t="s">
        <v>78</v>
      </c>
      <c r="D118" s="22" t="s">
        <v>470</v>
      </c>
      <c r="E118" s="118"/>
      <c r="F118" s="127">
        <f>F119+F121</f>
        <v>19570.419999999998</v>
      </c>
      <c r="G118" s="127">
        <f t="shared" ref="G118" si="37">G119+G121</f>
        <v>14764.229009999999</v>
      </c>
      <c r="H118" s="127">
        <f t="shared" si="20"/>
        <v>75.441554192500732</v>
      </c>
    </row>
    <row r="119" spans="1:8" s="99" customFormat="1" ht="12" x14ac:dyDescent="0.2">
      <c r="A119" s="112" t="s">
        <v>582</v>
      </c>
      <c r="B119" s="113" t="s">
        <v>44</v>
      </c>
      <c r="C119" s="113" t="s">
        <v>78</v>
      </c>
      <c r="D119" s="113" t="s">
        <v>470</v>
      </c>
      <c r="E119" s="113" t="s">
        <v>84</v>
      </c>
      <c r="F119" s="128">
        <f>F120</f>
        <v>19445.419999999998</v>
      </c>
      <c r="G119" s="128">
        <f t="shared" ref="G119" si="38">G120</f>
        <v>14639.229009999999</v>
      </c>
      <c r="H119" s="128">
        <f t="shared" si="20"/>
        <v>75.283686389905697</v>
      </c>
    </row>
    <row r="120" spans="1:8" s="99" customFormat="1" ht="12" x14ac:dyDescent="0.2">
      <c r="A120" s="112" t="s">
        <v>85</v>
      </c>
      <c r="B120" s="113" t="s">
        <v>44</v>
      </c>
      <c r="C120" s="113" t="s">
        <v>78</v>
      </c>
      <c r="D120" s="113" t="s">
        <v>470</v>
      </c>
      <c r="E120" s="113" t="s">
        <v>86</v>
      </c>
      <c r="F120" s="128">
        <f>10623-2750+2232.72-125+1200+6714.7+1550</f>
        <v>19445.419999999998</v>
      </c>
      <c r="G120" s="128">
        <v>14639.229009999999</v>
      </c>
      <c r="H120" s="128">
        <f t="shared" si="20"/>
        <v>75.283686389905697</v>
      </c>
    </row>
    <row r="121" spans="1:8" s="99" customFormat="1" ht="24" x14ac:dyDescent="0.2">
      <c r="A121" s="112" t="s">
        <v>417</v>
      </c>
      <c r="B121" s="113" t="s">
        <v>44</v>
      </c>
      <c r="C121" s="113" t="s">
        <v>78</v>
      </c>
      <c r="D121" s="113" t="s">
        <v>470</v>
      </c>
      <c r="E121" s="113" t="s">
        <v>418</v>
      </c>
      <c r="F121" s="128">
        <f>F122</f>
        <v>125</v>
      </c>
      <c r="G121" s="128">
        <f t="shared" ref="G121" si="39">G122</f>
        <v>125</v>
      </c>
      <c r="H121" s="128">
        <f t="shared" si="20"/>
        <v>100</v>
      </c>
    </row>
    <row r="122" spans="1:8" s="99" customFormat="1" ht="12" x14ac:dyDescent="0.2">
      <c r="A122" s="112" t="s">
        <v>419</v>
      </c>
      <c r="B122" s="113" t="s">
        <v>44</v>
      </c>
      <c r="C122" s="113" t="s">
        <v>78</v>
      </c>
      <c r="D122" s="113" t="s">
        <v>470</v>
      </c>
      <c r="E122" s="113" t="s">
        <v>420</v>
      </c>
      <c r="F122" s="128">
        <f>2750+125-1200-1550</f>
        <v>125</v>
      </c>
      <c r="G122" s="128">
        <v>125</v>
      </c>
      <c r="H122" s="128">
        <f t="shared" si="20"/>
        <v>100</v>
      </c>
    </row>
    <row r="123" spans="1:8" s="99" customFormat="1" ht="36" x14ac:dyDescent="0.2">
      <c r="A123" s="103" t="s">
        <v>685</v>
      </c>
      <c r="B123" s="104" t="s">
        <v>573</v>
      </c>
      <c r="C123" s="104"/>
      <c r="D123" s="104"/>
      <c r="E123" s="104"/>
      <c r="F123" s="127">
        <f>F124</f>
        <v>400000</v>
      </c>
      <c r="G123" s="127">
        <f t="shared" ref="G123:G124" si="40">G124</f>
        <v>400000</v>
      </c>
      <c r="H123" s="127">
        <f t="shared" si="20"/>
        <v>100</v>
      </c>
    </row>
    <row r="124" spans="1:8" s="99" customFormat="1" ht="12" x14ac:dyDescent="0.2">
      <c r="A124" s="49" t="s">
        <v>353</v>
      </c>
      <c r="B124" s="104" t="s">
        <v>573</v>
      </c>
      <c r="C124" s="22" t="s">
        <v>78</v>
      </c>
      <c r="D124" s="22"/>
      <c r="E124" s="104"/>
      <c r="F124" s="127">
        <f>F125</f>
        <v>400000</v>
      </c>
      <c r="G124" s="127">
        <f t="shared" si="40"/>
        <v>400000</v>
      </c>
      <c r="H124" s="127">
        <f t="shared" si="20"/>
        <v>100</v>
      </c>
    </row>
    <row r="125" spans="1:8" s="99" customFormat="1" ht="12" x14ac:dyDescent="0.2">
      <c r="A125" s="49" t="s">
        <v>380</v>
      </c>
      <c r="B125" s="104" t="s">
        <v>573</v>
      </c>
      <c r="C125" s="22" t="s">
        <v>78</v>
      </c>
      <c r="D125" s="22" t="s">
        <v>470</v>
      </c>
      <c r="E125" s="104"/>
      <c r="F125" s="127">
        <f>F126+F128</f>
        <v>400000</v>
      </c>
      <c r="G125" s="127">
        <f t="shared" ref="G125" si="41">G126+G128</f>
        <v>400000</v>
      </c>
      <c r="H125" s="127">
        <f t="shared" si="20"/>
        <v>100</v>
      </c>
    </row>
    <row r="126" spans="1:8" s="99" customFormat="1" ht="12" x14ac:dyDescent="0.2">
      <c r="A126" s="112" t="s">
        <v>582</v>
      </c>
      <c r="B126" s="113" t="s">
        <v>573</v>
      </c>
      <c r="C126" s="113" t="s">
        <v>78</v>
      </c>
      <c r="D126" s="113" t="s">
        <v>470</v>
      </c>
      <c r="E126" s="113" t="s">
        <v>84</v>
      </c>
      <c r="F126" s="128">
        <f>F127</f>
        <v>329000</v>
      </c>
      <c r="G126" s="128">
        <f t="shared" ref="G126" si="42">G127</f>
        <v>329000</v>
      </c>
      <c r="H126" s="128">
        <f t="shared" si="20"/>
        <v>100</v>
      </c>
    </row>
    <row r="127" spans="1:8" s="99" customFormat="1" ht="12" x14ac:dyDescent="0.2">
      <c r="A127" s="112" t="s">
        <v>85</v>
      </c>
      <c r="B127" s="113" t="s">
        <v>573</v>
      </c>
      <c r="C127" s="113" t="s">
        <v>78</v>
      </c>
      <c r="D127" s="113" t="s">
        <v>470</v>
      </c>
      <c r="E127" s="113" t="s">
        <v>86</v>
      </c>
      <c r="F127" s="128">
        <v>329000</v>
      </c>
      <c r="G127" s="128">
        <v>329000</v>
      </c>
      <c r="H127" s="128">
        <f t="shared" si="20"/>
        <v>100</v>
      </c>
    </row>
    <row r="128" spans="1:8" s="99" customFormat="1" ht="24" x14ac:dyDescent="0.2">
      <c r="A128" s="112" t="s">
        <v>417</v>
      </c>
      <c r="B128" s="113" t="s">
        <v>573</v>
      </c>
      <c r="C128" s="113" t="s">
        <v>78</v>
      </c>
      <c r="D128" s="113" t="s">
        <v>470</v>
      </c>
      <c r="E128" s="113" t="s">
        <v>418</v>
      </c>
      <c r="F128" s="128">
        <f>F129</f>
        <v>71000</v>
      </c>
      <c r="G128" s="128">
        <f t="shared" ref="G128" si="43">G129</f>
        <v>71000</v>
      </c>
      <c r="H128" s="128">
        <f t="shared" si="20"/>
        <v>100</v>
      </c>
    </row>
    <row r="129" spans="1:8" s="99" customFormat="1" ht="12" x14ac:dyDescent="0.2">
      <c r="A129" s="112" t="s">
        <v>419</v>
      </c>
      <c r="B129" s="113" t="s">
        <v>573</v>
      </c>
      <c r="C129" s="113" t="s">
        <v>78</v>
      </c>
      <c r="D129" s="113" t="s">
        <v>470</v>
      </c>
      <c r="E129" s="113" t="s">
        <v>420</v>
      </c>
      <c r="F129" s="128">
        <v>71000</v>
      </c>
      <c r="G129" s="128">
        <v>71000</v>
      </c>
      <c r="H129" s="128">
        <f t="shared" si="20"/>
        <v>100</v>
      </c>
    </row>
    <row r="130" spans="1:8" s="99" customFormat="1" ht="24" x14ac:dyDescent="0.2">
      <c r="A130" s="103" t="s">
        <v>574</v>
      </c>
      <c r="B130" s="104" t="s">
        <v>575</v>
      </c>
      <c r="C130" s="104"/>
      <c r="D130" s="104"/>
      <c r="E130" s="104"/>
      <c r="F130" s="127">
        <f>F131</f>
        <v>128441.803</v>
      </c>
      <c r="G130" s="127">
        <f t="shared" ref="G130:G131" si="44">G131</f>
        <v>115894.07699999999</v>
      </c>
      <c r="H130" s="127">
        <f t="shared" si="20"/>
        <v>90.230808267305306</v>
      </c>
    </row>
    <row r="131" spans="1:8" s="99" customFormat="1" ht="12" x14ac:dyDescent="0.2">
      <c r="A131" s="49" t="s">
        <v>353</v>
      </c>
      <c r="B131" s="22" t="s">
        <v>575</v>
      </c>
      <c r="C131" s="22" t="s">
        <v>78</v>
      </c>
      <c r="D131" s="22"/>
      <c r="E131" s="104"/>
      <c r="F131" s="127">
        <f>F132</f>
        <v>128441.803</v>
      </c>
      <c r="G131" s="127">
        <f t="shared" si="44"/>
        <v>115894.07699999999</v>
      </c>
      <c r="H131" s="127">
        <f t="shared" si="20"/>
        <v>90.230808267305306</v>
      </c>
    </row>
    <row r="132" spans="1:8" s="99" customFormat="1" ht="12" x14ac:dyDescent="0.2">
      <c r="A132" s="49" t="s">
        <v>380</v>
      </c>
      <c r="B132" s="22" t="s">
        <v>575</v>
      </c>
      <c r="C132" s="22" t="s">
        <v>78</v>
      </c>
      <c r="D132" s="22" t="s">
        <v>470</v>
      </c>
      <c r="E132" s="104"/>
      <c r="F132" s="127">
        <f>F133+F135</f>
        <v>128441.803</v>
      </c>
      <c r="G132" s="127">
        <f t="shared" ref="G132" si="45">G133+G135</f>
        <v>115894.07699999999</v>
      </c>
      <c r="H132" s="127">
        <f t="shared" si="20"/>
        <v>90.230808267305306</v>
      </c>
    </row>
    <row r="133" spans="1:8" s="99" customFormat="1" ht="12" x14ac:dyDescent="0.2">
      <c r="A133" s="112" t="s">
        <v>582</v>
      </c>
      <c r="B133" s="113" t="s">
        <v>575</v>
      </c>
      <c r="C133" s="113" t="s">
        <v>78</v>
      </c>
      <c r="D133" s="113" t="s">
        <v>470</v>
      </c>
      <c r="E133" s="113" t="s">
        <v>84</v>
      </c>
      <c r="F133" s="128">
        <f>F134</f>
        <v>119636.352</v>
      </c>
      <c r="G133" s="128">
        <f t="shared" ref="G133" si="46">G134</f>
        <v>107088.62699999999</v>
      </c>
      <c r="H133" s="128">
        <f t="shared" si="20"/>
        <v>89.511778995066649</v>
      </c>
    </row>
    <row r="134" spans="1:8" s="99" customFormat="1" ht="12" x14ac:dyDescent="0.2">
      <c r="A134" s="112" t="s">
        <v>85</v>
      </c>
      <c r="B134" s="113" t="s">
        <v>575</v>
      </c>
      <c r="C134" s="113" t="s">
        <v>78</v>
      </c>
      <c r="D134" s="113" t="s">
        <v>470</v>
      </c>
      <c r="E134" s="113" t="s">
        <v>86</v>
      </c>
      <c r="F134" s="128">
        <f>91437.55+28526.696-327.894</f>
        <v>119636.352</v>
      </c>
      <c r="G134" s="128">
        <v>107088.62699999999</v>
      </c>
      <c r="H134" s="128">
        <f t="shared" si="20"/>
        <v>89.511778995066649</v>
      </c>
    </row>
    <row r="135" spans="1:8" s="99" customFormat="1" ht="24" x14ac:dyDescent="0.2">
      <c r="A135" s="112" t="s">
        <v>417</v>
      </c>
      <c r="B135" s="113" t="s">
        <v>575</v>
      </c>
      <c r="C135" s="113" t="s">
        <v>78</v>
      </c>
      <c r="D135" s="113" t="s">
        <v>470</v>
      </c>
      <c r="E135" s="113" t="s">
        <v>418</v>
      </c>
      <c r="F135" s="128">
        <f>F136</f>
        <v>8805.4509999999991</v>
      </c>
      <c r="G135" s="128">
        <f t="shared" ref="G135" si="47">G136</f>
        <v>8805.4500000000007</v>
      </c>
      <c r="H135" s="128">
        <f t="shared" si="20"/>
        <v>99.999988643398297</v>
      </c>
    </row>
    <row r="136" spans="1:8" s="99" customFormat="1" ht="12" x14ac:dyDescent="0.2">
      <c r="A136" s="112" t="s">
        <v>419</v>
      </c>
      <c r="B136" s="113" t="s">
        <v>575</v>
      </c>
      <c r="C136" s="113" t="s">
        <v>78</v>
      </c>
      <c r="D136" s="113" t="s">
        <v>470</v>
      </c>
      <c r="E136" s="113" t="s">
        <v>420</v>
      </c>
      <c r="F136" s="128">
        <v>8805.4509999999991</v>
      </c>
      <c r="G136" s="128">
        <v>8805.4500000000007</v>
      </c>
      <c r="H136" s="128">
        <f t="shared" si="20"/>
        <v>99.999988643398297</v>
      </c>
    </row>
    <row r="137" spans="1:8" s="99" customFormat="1" ht="12" x14ac:dyDescent="0.2">
      <c r="A137" s="117" t="s">
        <v>440</v>
      </c>
      <c r="B137" s="118" t="s">
        <v>322</v>
      </c>
      <c r="C137" s="118"/>
      <c r="D137" s="118"/>
      <c r="E137" s="118"/>
      <c r="F137" s="119">
        <f>F138+F148</f>
        <v>40109.300000000003</v>
      </c>
      <c r="G137" s="119">
        <f t="shared" ref="G137" si="48">G138+G148</f>
        <v>39669.487959999999</v>
      </c>
      <c r="H137" s="127">
        <f t="shared" si="20"/>
        <v>98.903466178666775</v>
      </c>
    </row>
    <row r="138" spans="1:8" s="99" customFormat="1" ht="12" x14ac:dyDescent="0.2">
      <c r="A138" s="152" t="s">
        <v>328</v>
      </c>
      <c r="B138" s="153" t="s">
        <v>585</v>
      </c>
      <c r="C138" s="132"/>
      <c r="D138" s="132"/>
      <c r="E138" s="132"/>
      <c r="F138" s="137">
        <f>F139</f>
        <v>4425</v>
      </c>
      <c r="G138" s="137">
        <f t="shared" ref="G138:G140" si="49">G139</f>
        <v>4101.5959199999998</v>
      </c>
      <c r="H138" s="127">
        <f t="shared" si="20"/>
        <v>92.691433220338979</v>
      </c>
    </row>
    <row r="139" spans="1:8" s="99" customFormat="1" ht="12" x14ac:dyDescent="0.2">
      <c r="A139" s="49" t="s">
        <v>353</v>
      </c>
      <c r="B139" s="135" t="s">
        <v>585</v>
      </c>
      <c r="C139" s="22" t="s">
        <v>78</v>
      </c>
      <c r="D139" s="22"/>
      <c r="E139" s="132"/>
      <c r="F139" s="105">
        <f>F140</f>
        <v>4425</v>
      </c>
      <c r="G139" s="105">
        <f t="shared" si="49"/>
        <v>4101.5959199999998</v>
      </c>
      <c r="H139" s="127">
        <f t="shared" si="20"/>
        <v>92.691433220338979</v>
      </c>
    </row>
    <row r="140" spans="1:8" s="99" customFormat="1" ht="12" x14ac:dyDescent="0.2">
      <c r="A140" s="49" t="s">
        <v>380</v>
      </c>
      <c r="B140" s="135" t="s">
        <v>585</v>
      </c>
      <c r="C140" s="22" t="s">
        <v>78</v>
      </c>
      <c r="D140" s="22" t="s">
        <v>470</v>
      </c>
      <c r="E140" s="132"/>
      <c r="F140" s="105">
        <f>F141</f>
        <v>4425</v>
      </c>
      <c r="G140" s="105">
        <f t="shared" si="49"/>
        <v>4101.5959199999998</v>
      </c>
      <c r="H140" s="127">
        <f t="shared" si="20"/>
        <v>92.691433220338979</v>
      </c>
    </row>
    <row r="141" spans="1:8" s="99" customFormat="1" ht="12" x14ac:dyDescent="0.2">
      <c r="A141" s="103" t="s">
        <v>471</v>
      </c>
      <c r="B141" s="104" t="s">
        <v>585</v>
      </c>
      <c r="C141" s="104" t="s">
        <v>78</v>
      </c>
      <c r="D141" s="104" t="s">
        <v>470</v>
      </c>
      <c r="E141" s="104"/>
      <c r="F141" s="105">
        <f>F142+F144+F146</f>
        <v>4425</v>
      </c>
      <c r="G141" s="105">
        <f t="shared" ref="G141" si="50">G142+G144+G146</f>
        <v>4101.5959199999998</v>
      </c>
      <c r="H141" s="127">
        <f t="shared" si="20"/>
        <v>92.691433220338979</v>
      </c>
    </row>
    <row r="142" spans="1:8" s="99" customFormat="1" ht="36" x14ac:dyDescent="0.2">
      <c r="A142" s="112" t="s">
        <v>79</v>
      </c>
      <c r="B142" s="113" t="s">
        <v>585</v>
      </c>
      <c r="C142" s="113" t="s">
        <v>78</v>
      </c>
      <c r="D142" s="113" t="s">
        <v>470</v>
      </c>
      <c r="E142" s="113" t="s">
        <v>80</v>
      </c>
      <c r="F142" s="114">
        <f>F143</f>
        <v>3825</v>
      </c>
      <c r="G142" s="114">
        <f t="shared" ref="G142" si="51">G143</f>
        <v>3537.1462700000002</v>
      </c>
      <c r="H142" s="128">
        <f t="shared" ref="H142:H152" si="52">G142/F142*100</f>
        <v>92.474412287581714</v>
      </c>
    </row>
    <row r="143" spans="1:8" s="99" customFormat="1" ht="12" x14ac:dyDescent="0.2">
      <c r="A143" s="112" t="s">
        <v>472</v>
      </c>
      <c r="B143" s="113" t="s">
        <v>585</v>
      </c>
      <c r="C143" s="113" t="s">
        <v>78</v>
      </c>
      <c r="D143" s="113" t="s">
        <v>470</v>
      </c>
      <c r="E143" s="113" t="s">
        <v>473</v>
      </c>
      <c r="F143" s="114">
        <f>3890-65</f>
        <v>3825</v>
      </c>
      <c r="G143" s="114">
        <v>3537.1462700000002</v>
      </c>
      <c r="H143" s="128">
        <f t="shared" si="52"/>
        <v>92.474412287581714</v>
      </c>
    </row>
    <row r="144" spans="1:8" s="99" customFormat="1" ht="12" x14ac:dyDescent="0.2">
      <c r="A144" s="112" t="s">
        <v>582</v>
      </c>
      <c r="B144" s="113" t="s">
        <v>585</v>
      </c>
      <c r="C144" s="113" t="s">
        <v>78</v>
      </c>
      <c r="D144" s="113" t="s">
        <v>470</v>
      </c>
      <c r="E144" s="113" t="s">
        <v>84</v>
      </c>
      <c r="F144" s="114">
        <f>F145</f>
        <v>405.58100000000002</v>
      </c>
      <c r="G144" s="114">
        <f t="shared" ref="G144" si="53">G145</f>
        <v>403.59253000000001</v>
      </c>
      <c r="H144" s="128">
        <f t="shared" si="52"/>
        <v>99.509723088606222</v>
      </c>
    </row>
    <row r="145" spans="1:8" s="99" customFormat="1" ht="12" x14ac:dyDescent="0.2">
      <c r="A145" s="112" t="s">
        <v>85</v>
      </c>
      <c r="B145" s="113" t="s">
        <v>585</v>
      </c>
      <c r="C145" s="113" t="s">
        <v>78</v>
      </c>
      <c r="D145" s="113" t="s">
        <v>470</v>
      </c>
      <c r="E145" s="113" t="s">
        <v>86</v>
      </c>
      <c r="F145" s="114">
        <f>294.7-29.119+65+75</f>
        <v>405.58100000000002</v>
      </c>
      <c r="G145" s="114">
        <v>403.59253000000001</v>
      </c>
      <c r="H145" s="128">
        <f t="shared" si="52"/>
        <v>99.509723088606222</v>
      </c>
    </row>
    <row r="146" spans="1:8" s="99" customFormat="1" ht="12" x14ac:dyDescent="0.2">
      <c r="A146" s="112" t="s">
        <v>87</v>
      </c>
      <c r="B146" s="113" t="s">
        <v>585</v>
      </c>
      <c r="C146" s="113" t="s">
        <v>78</v>
      </c>
      <c r="D146" s="113" t="s">
        <v>470</v>
      </c>
      <c r="E146" s="113" t="s">
        <v>88</v>
      </c>
      <c r="F146" s="114">
        <f>F147</f>
        <v>194.41900000000001</v>
      </c>
      <c r="G146" s="114">
        <f t="shared" ref="G146" si="54">G147</f>
        <v>160.85712000000001</v>
      </c>
      <c r="H146" s="128">
        <f t="shared" si="52"/>
        <v>82.737345629799549</v>
      </c>
    </row>
    <row r="147" spans="1:8" s="99" customFormat="1" ht="12" x14ac:dyDescent="0.2">
      <c r="A147" s="112" t="s">
        <v>154</v>
      </c>
      <c r="B147" s="113" t="s">
        <v>585</v>
      </c>
      <c r="C147" s="113" t="s">
        <v>78</v>
      </c>
      <c r="D147" s="113" t="s">
        <v>470</v>
      </c>
      <c r="E147" s="113" t="s">
        <v>89</v>
      </c>
      <c r="F147" s="114">
        <f>165.3+29.119</f>
        <v>194.41900000000001</v>
      </c>
      <c r="G147" s="114">
        <v>160.85712000000001</v>
      </c>
      <c r="H147" s="128">
        <f t="shared" si="52"/>
        <v>82.737345629799549</v>
      </c>
    </row>
    <row r="148" spans="1:8" s="99" customFormat="1" ht="12" x14ac:dyDescent="0.2">
      <c r="A148" s="121" t="s">
        <v>329</v>
      </c>
      <c r="B148" s="122" t="s">
        <v>586</v>
      </c>
      <c r="C148" s="118"/>
      <c r="D148" s="118"/>
      <c r="E148" s="118"/>
      <c r="F148" s="119">
        <f>F149</f>
        <v>35684.300000000003</v>
      </c>
      <c r="G148" s="119">
        <f t="shared" ref="G148:G151" si="55">G149</f>
        <v>35567.892039999999</v>
      </c>
      <c r="H148" s="129">
        <f t="shared" si="52"/>
        <v>99.673783820896006</v>
      </c>
    </row>
    <row r="149" spans="1:8" s="99" customFormat="1" ht="12" x14ac:dyDescent="0.2">
      <c r="A149" s="49" t="s">
        <v>353</v>
      </c>
      <c r="B149" s="22" t="s">
        <v>586</v>
      </c>
      <c r="C149" s="22" t="s">
        <v>78</v>
      </c>
      <c r="D149" s="22"/>
      <c r="E149" s="118"/>
      <c r="F149" s="105">
        <f>F150</f>
        <v>35684.300000000003</v>
      </c>
      <c r="G149" s="105">
        <f t="shared" si="55"/>
        <v>35567.892039999999</v>
      </c>
      <c r="H149" s="127">
        <f t="shared" si="52"/>
        <v>99.673783820896006</v>
      </c>
    </row>
    <row r="150" spans="1:8" s="99" customFormat="1" ht="12" x14ac:dyDescent="0.2">
      <c r="A150" s="49" t="s">
        <v>380</v>
      </c>
      <c r="B150" s="22" t="s">
        <v>586</v>
      </c>
      <c r="C150" s="22" t="s">
        <v>78</v>
      </c>
      <c r="D150" s="22" t="s">
        <v>470</v>
      </c>
      <c r="E150" s="118"/>
      <c r="F150" s="105">
        <f>F151</f>
        <v>35684.300000000003</v>
      </c>
      <c r="G150" s="105">
        <f t="shared" si="55"/>
        <v>35567.892039999999</v>
      </c>
      <c r="H150" s="127">
        <f t="shared" si="52"/>
        <v>99.673783820896006</v>
      </c>
    </row>
    <row r="151" spans="1:8" s="99" customFormat="1" ht="12" customHeight="1" x14ac:dyDescent="0.2">
      <c r="A151" s="112" t="s">
        <v>104</v>
      </c>
      <c r="B151" s="113" t="s">
        <v>586</v>
      </c>
      <c r="C151" s="113" t="s">
        <v>78</v>
      </c>
      <c r="D151" s="113" t="s">
        <v>470</v>
      </c>
      <c r="E151" s="113" t="s">
        <v>391</v>
      </c>
      <c r="F151" s="114">
        <f>F152</f>
        <v>35684.300000000003</v>
      </c>
      <c r="G151" s="114">
        <f t="shared" si="55"/>
        <v>35567.892039999999</v>
      </c>
      <c r="H151" s="128">
        <f t="shared" si="52"/>
        <v>99.673783820896006</v>
      </c>
    </row>
    <row r="152" spans="1:8" s="99" customFormat="1" ht="12" x14ac:dyDescent="0.2">
      <c r="A152" s="112" t="s">
        <v>105</v>
      </c>
      <c r="B152" s="113" t="s">
        <v>586</v>
      </c>
      <c r="C152" s="113" t="s">
        <v>78</v>
      </c>
      <c r="D152" s="113" t="s">
        <v>470</v>
      </c>
      <c r="E152" s="113" t="s">
        <v>409</v>
      </c>
      <c r="F152" s="114">
        <f>13684.3+10000+1000+11000</f>
        <v>35684.300000000003</v>
      </c>
      <c r="G152" s="114">
        <v>35567.892039999999</v>
      </c>
      <c r="H152" s="128">
        <f t="shared" si="52"/>
        <v>99.673783820896006</v>
      </c>
    </row>
    <row r="153" spans="1:8" s="99" customFormat="1" ht="27" x14ac:dyDescent="0.2">
      <c r="A153" s="124" t="s">
        <v>602</v>
      </c>
      <c r="B153" s="182" t="s">
        <v>249</v>
      </c>
      <c r="C153" s="125"/>
      <c r="D153" s="125"/>
      <c r="E153" s="125"/>
      <c r="F153" s="183">
        <f>F154+F159+F164+F169+F174+F179+F184+F189+F198+F203+F208+F222+F227+F232</f>
        <v>389901.81199999998</v>
      </c>
      <c r="G153" s="183">
        <f t="shared" ref="G153" si="56">G154+G159+G164+G169+G174+G179+G184+G189+G198+G203+G208+G222+G227+G232</f>
        <v>385865.29762000003</v>
      </c>
      <c r="H153" s="183">
        <f>G153/F153*100</f>
        <v>98.964735670425668</v>
      </c>
    </row>
    <row r="154" spans="1:8" s="99" customFormat="1" ht="12" x14ac:dyDescent="0.2">
      <c r="A154" s="134" t="s">
        <v>604</v>
      </c>
      <c r="B154" s="104" t="s">
        <v>605</v>
      </c>
      <c r="C154" s="104"/>
      <c r="D154" s="104"/>
      <c r="E154" s="104"/>
      <c r="F154" s="105">
        <f>F155</f>
        <v>16684.8</v>
      </c>
      <c r="G154" s="105">
        <f t="shared" ref="G154:G157" si="57">G155</f>
        <v>14433.155000000001</v>
      </c>
      <c r="H154" s="127">
        <f t="shared" ref="H154:H217" si="58">G154/F154*100</f>
        <v>86.50481276371309</v>
      </c>
    </row>
    <row r="155" spans="1:8" s="99" customFormat="1" ht="12" x14ac:dyDescent="0.2">
      <c r="A155" s="65" t="s">
        <v>358</v>
      </c>
      <c r="B155" s="104" t="s">
        <v>605</v>
      </c>
      <c r="C155" s="22" t="s">
        <v>416</v>
      </c>
      <c r="D155" s="22"/>
      <c r="E155" s="22"/>
      <c r="F155" s="38">
        <f>F156</f>
        <v>16684.8</v>
      </c>
      <c r="G155" s="38">
        <f t="shared" si="57"/>
        <v>14433.155000000001</v>
      </c>
      <c r="H155" s="127">
        <f t="shared" si="58"/>
        <v>86.50481276371309</v>
      </c>
    </row>
    <row r="156" spans="1:8" s="99" customFormat="1" ht="12" x14ac:dyDescent="0.2">
      <c r="A156" s="65" t="s">
        <v>362</v>
      </c>
      <c r="B156" s="104" t="s">
        <v>605</v>
      </c>
      <c r="C156" s="22" t="s">
        <v>416</v>
      </c>
      <c r="D156" s="22" t="s">
        <v>469</v>
      </c>
      <c r="E156" s="22"/>
      <c r="F156" s="38">
        <f>F157</f>
        <v>16684.8</v>
      </c>
      <c r="G156" s="38">
        <f t="shared" si="57"/>
        <v>14433.155000000001</v>
      </c>
      <c r="H156" s="127">
        <f t="shared" si="58"/>
        <v>86.50481276371309</v>
      </c>
    </row>
    <row r="157" spans="1:8" s="99" customFormat="1" ht="12" x14ac:dyDescent="0.2">
      <c r="A157" s="112" t="s">
        <v>294</v>
      </c>
      <c r="B157" s="113" t="s">
        <v>605</v>
      </c>
      <c r="C157" s="113" t="s">
        <v>416</v>
      </c>
      <c r="D157" s="113" t="s">
        <v>469</v>
      </c>
      <c r="E157" s="113" t="s">
        <v>84</v>
      </c>
      <c r="F157" s="105">
        <f>F158</f>
        <v>16684.8</v>
      </c>
      <c r="G157" s="105">
        <f t="shared" si="57"/>
        <v>14433.155000000001</v>
      </c>
      <c r="H157" s="127">
        <f t="shared" si="58"/>
        <v>86.50481276371309</v>
      </c>
    </row>
    <row r="158" spans="1:8" s="99" customFormat="1" ht="12" x14ac:dyDescent="0.2">
      <c r="A158" s="112" t="s">
        <v>85</v>
      </c>
      <c r="B158" s="113" t="s">
        <v>605</v>
      </c>
      <c r="C158" s="113" t="s">
        <v>416</v>
      </c>
      <c r="D158" s="113" t="s">
        <v>469</v>
      </c>
      <c r="E158" s="113" t="s">
        <v>86</v>
      </c>
      <c r="F158" s="114">
        <f>31000-0.5-6714.7-10000+400+2000</f>
        <v>16684.8</v>
      </c>
      <c r="G158" s="114">
        <v>14433.155000000001</v>
      </c>
      <c r="H158" s="128">
        <f t="shared" si="58"/>
        <v>86.50481276371309</v>
      </c>
    </row>
    <row r="159" spans="1:8" s="100" customFormat="1" ht="12" x14ac:dyDescent="0.2">
      <c r="A159" s="134" t="s">
        <v>342</v>
      </c>
      <c r="B159" s="104" t="s">
        <v>606</v>
      </c>
      <c r="C159" s="104"/>
      <c r="D159" s="104"/>
      <c r="E159" s="104"/>
      <c r="F159" s="105">
        <f>F160</f>
        <v>1000</v>
      </c>
      <c r="G159" s="105">
        <f t="shared" ref="G159:G162" si="59">G160</f>
        <v>997.34699999999998</v>
      </c>
      <c r="H159" s="127">
        <f t="shared" si="58"/>
        <v>99.734700000000004</v>
      </c>
    </row>
    <row r="160" spans="1:8" s="100" customFormat="1" ht="12" x14ac:dyDescent="0.2">
      <c r="A160" s="65" t="s">
        <v>358</v>
      </c>
      <c r="B160" s="104" t="s">
        <v>606</v>
      </c>
      <c r="C160" s="22" t="s">
        <v>416</v>
      </c>
      <c r="D160" s="22"/>
      <c r="E160" s="22"/>
      <c r="F160" s="38">
        <f>F161</f>
        <v>1000</v>
      </c>
      <c r="G160" s="38">
        <f t="shared" si="59"/>
        <v>997.34699999999998</v>
      </c>
      <c r="H160" s="127">
        <f t="shared" si="58"/>
        <v>99.734700000000004</v>
      </c>
    </row>
    <row r="161" spans="1:8" s="100" customFormat="1" ht="12" x14ac:dyDescent="0.2">
      <c r="A161" s="65" t="s">
        <v>362</v>
      </c>
      <c r="B161" s="104" t="s">
        <v>606</v>
      </c>
      <c r="C161" s="22" t="s">
        <v>416</v>
      </c>
      <c r="D161" s="22" t="s">
        <v>469</v>
      </c>
      <c r="E161" s="22"/>
      <c r="F161" s="38">
        <f>F162</f>
        <v>1000</v>
      </c>
      <c r="G161" s="38">
        <f t="shared" si="59"/>
        <v>997.34699999999998</v>
      </c>
      <c r="H161" s="127">
        <f t="shared" si="58"/>
        <v>99.734700000000004</v>
      </c>
    </row>
    <row r="162" spans="1:8" s="100" customFormat="1" ht="12" x14ac:dyDescent="0.2">
      <c r="A162" s="112" t="s">
        <v>294</v>
      </c>
      <c r="B162" s="113" t="s">
        <v>606</v>
      </c>
      <c r="C162" s="113" t="s">
        <v>416</v>
      </c>
      <c r="D162" s="113" t="s">
        <v>469</v>
      </c>
      <c r="E162" s="113" t="s">
        <v>84</v>
      </c>
      <c r="F162" s="114">
        <f>F163</f>
        <v>1000</v>
      </c>
      <c r="G162" s="114">
        <f t="shared" si="59"/>
        <v>997.34699999999998</v>
      </c>
      <c r="H162" s="128">
        <f t="shared" si="58"/>
        <v>99.734700000000004</v>
      </c>
    </row>
    <row r="163" spans="1:8" s="100" customFormat="1" ht="12" x14ac:dyDescent="0.2">
      <c r="A163" s="112" t="s">
        <v>85</v>
      </c>
      <c r="B163" s="113" t="s">
        <v>606</v>
      </c>
      <c r="C163" s="113" t="s">
        <v>416</v>
      </c>
      <c r="D163" s="113" t="s">
        <v>469</v>
      </c>
      <c r="E163" s="113" t="s">
        <v>86</v>
      </c>
      <c r="F163" s="114">
        <f>2000-1000</f>
        <v>1000</v>
      </c>
      <c r="G163" s="114">
        <v>997.34699999999998</v>
      </c>
      <c r="H163" s="128">
        <f t="shared" si="58"/>
        <v>99.734700000000004</v>
      </c>
    </row>
    <row r="164" spans="1:8" s="100" customFormat="1" ht="12" x14ac:dyDescent="0.2">
      <c r="A164" s="103" t="s">
        <v>343</v>
      </c>
      <c r="B164" s="104" t="s">
        <v>607</v>
      </c>
      <c r="C164" s="104"/>
      <c r="D164" s="104"/>
      <c r="E164" s="104"/>
      <c r="F164" s="105">
        <f>F165</f>
        <v>2000</v>
      </c>
      <c r="G164" s="105">
        <f t="shared" ref="G164:G167" si="60">G165</f>
        <v>593.95000000000005</v>
      </c>
      <c r="H164" s="127">
        <f t="shared" si="58"/>
        <v>29.697500000000005</v>
      </c>
    </row>
    <row r="165" spans="1:8" s="100" customFormat="1" ht="12" x14ac:dyDescent="0.2">
      <c r="A165" s="65" t="s">
        <v>358</v>
      </c>
      <c r="B165" s="104" t="s">
        <v>607</v>
      </c>
      <c r="C165" s="22" t="s">
        <v>416</v>
      </c>
      <c r="D165" s="22"/>
      <c r="E165" s="22"/>
      <c r="F165" s="38">
        <f>F166</f>
        <v>2000</v>
      </c>
      <c r="G165" s="38">
        <f t="shared" si="60"/>
        <v>593.95000000000005</v>
      </c>
      <c r="H165" s="127">
        <f t="shared" si="58"/>
        <v>29.697500000000005</v>
      </c>
    </row>
    <row r="166" spans="1:8" s="100" customFormat="1" ht="12" x14ac:dyDescent="0.2">
      <c r="A166" s="65" t="s">
        <v>362</v>
      </c>
      <c r="B166" s="104" t="s">
        <v>607</v>
      </c>
      <c r="C166" s="22" t="s">
        <v>416</v>
      </c>
      <c r="D166" s="22" t="s">
        <v>469</v>
      </c>
      <c r="E166" s="22"/>
      <c r="F166" s="38">
        <f>F167</f>
        <v>2000</v>
      </c>
      <c r="G166" s="38">
        <f t="shared" si="60"/>
        <v>593.95000000000005</v>
      </c>
      <c r="H166" s="127">
        <f t="shared" si="58"/>
        <v>29.697500000000005</v>
      </c>
    </row>
    <row r="167" spans="1:8" s="100" customFormat="1" ht="12" x14ac:dyDescent="0.2">
      <c r="A167" s="112" t="s">
        <v>294</v>
      </c>
      <c r="B167" s="113" t="s">
        <v>607</v>
      </c>
      <c r="C167" s="113" t="s">
        <v>416</v>
      </c>
      <c r="D167" s="113" t="s">
        <v>469</v>
      </c>
      <c r="E167" s="113" t="s">
        <v>84</v>
      </c>
      <c r="F167" s="114">
        <f>F168</f>
        <v>2000</v>
      </c>
      <c r="G167" s="114">
        <f t="shared" si="60"/>
        <v>593.95000000000005</v>
      </c>
      <c r="H167" s="128">
        <f t="shared" si="58"/>
        <v>29.697500000000005</v>
      </c>
    </row>
    <row r="168" spans="1:8" s="100" customFormat="1" ht="12" x14ac:dyDescent="0.2">
      <c r="A168" s="112" t="s">
        <v>85</v>
      </c>
      <c r="B168" s="113" t="s">
        <v>607</v>
      </c>
      <c r="C168" s="113" t="s">
        <v>416</v>
      </c>
      <c r="D168" s="113" t="s">
        <v>469</v>
      </c>
      <c r="E168" s="113" t="s">
        <v>86</v>
      </c>
      <c r="F168" s="114">
        <v>2000</v>
      </c>
      <c r="G168" s="114">
        <v>593.95000000000005</v>
      </c>
      <c r="H168" s="128">
        <f t="shared" si="58"/>
        <v>29.697500000000005</v>
      </c>
    </row>
    <row r="169" spans="1:8" s="100" customFormat="1" ht="24" x14ac:dyDescent="0.2">
      <c r="A169" s="134" t="s">
        <v>330</v>
      </c>
      <c r="B169" s="104" t="s">
        <v>608</v>
      </c>
      <c r="C169" s="104"/>
      <c r="D169" s="104"/>
      <c r="E169" s="104"/>
      <c r="F169" s="105">
        <f>F170</f>
        <v>2000</v>
      </c>
      <c r="G169" s="105">
        <f t="shared" ref="G169:G172" si="61">G170</f>
        <v>1998.9490000000001</v>
      </c>
      <c r="H169" s="127">
        <f t="shared" si="58"/>
        <v>99.947450000000003</v>
      </c>
    </row>
    <row r="170" spans="1:8" s="100" customFormat="1" ht="12" x14ac:dyDescent="0.2">
      <c r="A170" s="65" t="s">
        <v>358</v>
      </c>
      <c r="B170" s="104" t="s">
        <v>608</v>
      </c>
      <c r="C170" s="22" t="s">
        <v>416</v>
      </c>
      <c r="D170" s="22"/>
      <c r="E170" s="22"/>
      <c r="F170" s="38">
        <f>F171</f>
        <v>2000</v>
      </c>
      <c r="G170" s="38">
        <f t="shared" si="61"/>
        <v>1998.9490000000001</v>
      </c>
      <c r="H170" s="127">
        <f t="shared" si="58"/>
        <v>99.947450000000003</v>
      </c>
    </row>
    <row r="171" spans="1:8" s="100" customFormat="1" ht="12" x14ac:dyDescent="0.2">
      <c r="A171" s="65" t="s">
        <v>362</v>
      </c>
      <c r="B171" s="104" t="s">
        <v>608</v>
      </c>
      <c r="C171" s="22" t="s">
        <v>416</v>
      </c>
      <c r="D171" s="22" t="s">
        <v>469</v>
      </c>
      <c r="E171" s="22"/>
      <c r="F171" s="38">
        <f>F172</f>
        <v>2000</v>
      </c>
      <c r="G171" s="38">
        <f t="shared" si="61"/>
        <v>1998.9490000000001</v>
      </c>
      <c r="H171" s="127">
        <f t="shared" si="58"/>
        <v>99.947450000000003</v>
      </c>
    </row>
    <row r="172" spans="1:8" s="100" customFormat="1" ht="12" x14ac:dyDescent="0.2">
      <c r="A172" s="112" t="s">
        <v>294</v>
      </c>
      <c r="B172" s="113" t="s">
        <v>608</v>
      </c>
      <c r="C172" s="113" t="s">
        <v>416</v>
      </c>
      <c r="D172" s="113" t="s">
        <v>469</v>
      </c>
      <c r="E172" s="113" t="s">
        <v>84</v>
      </c>
      <c r="F172" s="114">
        <f>F173</f>
        <v>2000</v>
      </c>
      <c r="G172" s="114">
        <f t="shared" si="61"/>
        <v>1998.9490000000001</v>
      </c>
      <c r="H172" s="128">
        <f t="shared" si="58"/>
        <v>99.947450000000003</v>
      </c>
    </row>
    <row r="173" spans="1:8" s="100" customFormat="1" ht="12" x14ac:dyDescent="0.2">
      <c r="A173" s="112" t="s">
        <v>85</v>
      </c>
      <c r="B173" s="113" t="s">
        <v>608</v>
      </c>
      <c r="C173" s="113" t="s">
        <v>416</v>
      </c>
      <c r="D173" s="113" t="s">
        <v>469</v>
      </c>
      <c r="E173" s="113" t="s">
        <v>86</v>
      </c>
      <c r="F173" s="114">
        <v>2000</v>
      </c>
      <c r="G173" s="114">
        <v>1998.9490000000001</v>
      </c>
      <c r="H173" s="128">
        <f t="shared" si="58"/>
        <v>99.947450000000003</v>
      </c>
    </row>
    <row r="174" spans="1:8" s="100" customFormat="1" ht="12" x14ac:dyDescent="0.2">
      <c r="A174" s="154" t="s">
        <v>331</v>
      </c>
      <c r="B174" s="143" t="s">
        <v>609</v>
      </c>
      <c r="C174" s="104"/>
      <c r="D174" s="104"/>
      <c r="E174" s="143"/>
      <c r="F174" s="105">
        <f>F175</f>
        <v>1200</v>
      </c>
      <c r="G174" s="105">
        <f t="shared" ref="G174:G177" si="62">G175</f>
        <v>1198.32</v>
      </c>
      <c r="H174" s="127">
        <f t="shared" si="58"/>
        <v>99.86</v>
      </c>
    </row>
    <row r="175" spans="1:8" s="100" customFormat="1" ht="12" x14ac:dyDescent="0.2">
      <c r="A175" s="65" t="s">
        <v>358</v>
      </c>
      <c r="B175" s="143" t="s">
        <v>609</v>
      </c>
      <c r="C175" s="22" t="s">
        <v>416</v>
      </c>
      <c r="D175" s="22"/>
      <c r="E175" s="22"/>
      <c r="F175" s="38">
        <f>F176</f>
        <v>1200</v>
      </c>
      <c r="G175" s="38">
        <f t="shared" si="62"/>
        <v>1198.32</v>
      </c>
      <c r="H175" s="127">
        <f t="shared" si="58"/>
        <v>99.86</v>
      </c>
    </row>
    <row r="176" spans="1:8" s="100" customFormat="1" ht="12" x14ac:dyDescent="0.2">
      <c r="A176" s="65" t="s">
        <v>362</v>
      </c>
      <c r="B176" s="143" t="s">
        <v>609</v>
      </c>
      <c r="C176" s="22" t="s">
        <v>416</v>
      </c>
      <c r="D176" s="22" t="s">
        <v>469</v>
      </c>
      <c r="E176" s="22"/>
      <c r="F176" s="38">
        <f>F177</f>
        <v>1200</v>
      </c>
      <c r="G176" s="38">
        <f t="shared" si="62"/>
        <v>1198.32</v>
      </c>
      <c r="H176" s="127">
        <f t="shared" si="58"/>
        <v>99.86</v>
      </c>
    </row>
    <row r="177" spans="1:8" s="100" customFormat="1" ht="12" x14ac:dyDescent="0.2">
      <c r="A177" s="112" t="s">
        <v>159</v>
      </c>
      <c r="B177" s="130" t="s">
        <v>609</v>
      </c>
      <c r="C177" s="113" t="s">
        <v>416</v>
      </c>
      <c r="D177" s="113" t="s">
        <v>469</v>
      </c>
      <c r="E177" s="113" t="s">
        <v>84</v>
      </c>
      <c r="F177" s="114">
        <f>F178</f>
        <v>1200</v>
      </c>
      <c r="G177" s="114">
        <f t="shared" si="62"/>
        <v>1198.32</v>
      </c>
      <c r="H177" s="128">
        <f t="shared" si="58"/>
        <v>99.86</v>
      </c>
    </row>
    <row r="178" spans="1:8" s="100" customFormat="1" ht="12" x14ac:dyDescent="0.2">
      <c r="A178" s="112" t="s">
        <v>85</v>
      </c>
      <c r="B178" s="130" t="s">
        <v>609</v>
      </c>
      <c r="C178" s="113" t="s">
        <v>416</v>
      </c>
      <c r="D178" s="113" t="s">
        <v>469</v>
      </c>
      <c r="E178" s="113" t="s">
        <v>86</v>
      </c>
      <c r="F178" s="114">
        <f>2000-800</f>
        <v>1200</v>
      </c>
      <c r="G178" s="114">
        <v>1198.32</v>
      </c>
      <c r="H178" s="128">
        <f t="shared" si="58"/>
        <v>99.86</v>
      </c>
    </row>
    <row r="179" spans="1:8" s="100" customFormat="1" ht="12" x14ac:dyDescent="0.2">
      <c r="A179" s="103" t="s">
        <v>236</v>
      </c>
      <c r="B179" s="104" t="s">
        <v>610</v>
      </c>
      <c r="C179" s="104"/>
      <c r="D179" s="104"/>
      <c r="E179" s="104"/>
      <c r="F179" s="105">
        <f>F180</f>
        <v>82362</v>
      </c>
      <c r="G179" s="105">
        <f t="shared" ref="G179:G182" si="63">G180</f>
        <v>82361.653999999995</v>
      </c>
      <c r="H179" s="127">
        <f t="shared" si="58"/>
        <v>99.999579903353492</v>
      </c>
    </row>
    <row r="180" spans="1:8" s="100" customFormat="1" ht="12" x14ac:dyDescent="0.2">
      <c r="A180" s="65" t="s">
        <v>358</v>
      </c>
      <c r="B180" s="104" t="s">
        <v>610</v>
      </c>
      <c r="C180" s="22" t="s">
        <v>416</v>
      </c>
      <c r="D180" s="22"/>
      <c r="E180" s="22"/>
      <c r="F180" s="38">
        <f>F181</f>
        <v>82362</v>
      </c>
      <c r="G180" s="38">
        <f t="shared" si="63"/>
        <v>82361.653999999995</v>
      </c>
      <c r="H180" s="127">
        <f t="shared" si="58"/>
        <v>99.999579903353492</v>
      </c>
    </row>
    <row r="181" spans="1:8" s="100" customFormat="1" ht="12" x14ac:dyDescent="0.2">
      <c r="A181" s="65" t="s">
        <v>362</v>
      </c>
      <c r="B181" s="104" t="s">
        <v>610</v>
      </c>
      <c r="C181" s="22" t="s">
        <v>416</v>
      </c>
      <c r="D181" s="22" t="s">
        <v>469</v>
      </c>
      <c r="E181" s="22"/>
      <c r="F181" s="38">
        <f>F182</f>
        <v>82362</v>
      </c>
      <c r="G181" s="38">
        <f t="shared" si="63"/>
        <v>82361.653999999995</v>
      </c>
      <c r="H181" s="127">
        <f t="shared" si="58"/>
        <v>99.999579903353492</v>
      </c>
    </row>
    <row r="182" spans="1:8" s="100" customFormat="1" ht="12" x14ac:dyDescent="0.2">
      <c r="A182" s="112" t="s">
        <v>294</v>
      </c>
      <c r="B182" s="113" t="s">
        <v>610</v>
      </c>
      <c r="C182" s="113" t="s">
        <v>416</v>
      </c>
      <c r="D182" s="113" t="s">
        <v>469</v>
      </c>
      <c r="E182" s="113" t="s">
        <v>84</v>
      </c>
      <c r="F182" s="114">
        <f>F183</f>
        <v>82362</v>
      </c>
      <c r="G182" s="114">
        <f t="shared" si="63"/>
        <v>82361.653999999995</v>
      </c>
      <c r="H182" s="128">
        <f t="shared" si="58"/>
        <v>99.999579903353492</v>
      </c>
    </row>
    <row r="183" spans="1:8" s="100" customFormat="1" ht="12" x14ac:dyDescent="0.2">
      <c r="A183" s="112" t="s">
        <v>85</v>
      </c>
      <c r="B183" s="113" t="s">
        <v>610</v>
      </c>
      <c r="C183" s="113" t="s">
        <v>416</v>
      </c>
      <c r="D183" s="113" t="s">
        <v>469</v>
      </c>
      <c r="E183" s="113" t="s">
        <v>86</v>
      </c>
      <c r="F183" s="114">
        <f>80000+1400+962</f>
        <v>82362</v>
      </c>
      <c r="G183" s="114">
        <v>82361.653999999995</v>
      </c>
      <c r="H183" s="128">
        <f t="shared" si="58"/>
        <v>99.999579903353492</v>
      </c>
    </row>
    <row r="184" spans="1:8" s="100" customFormat="1" ht="12" x14ac:dyDescent="0.2">
      <c r="A184" s="103" t="s">
        <v>332</v>
      </c>
      <c r="B184" s="104" t="s">
        <v>611</v>
      </c>
      <c r="C184" s="104"/>
      <c r="D184" s="104"/>
      <c r="E184" s="104"/>
      <c r="F184" s="105">
        <f>F185</f>
        <v>26161</v>
      </c>
      <c r="G184" s="105">
        <f t="shared" ref="G184:G187" si="64">G185</f>
        <v>26045.143189999999</v>
      </c>
      <c r="H184" s="127">
        <f t="shared" si="58"/>
        <v>99.557139214861806</v>
      </c>
    </row>
    <row r="185" spans="1:8" s="100" customFormat="1" ht="12" x14ac:dyDescent="0.2">
      <c r="A185" s="65" t="s">
        <v>358</v>
      </c>
      <c r="B185" s="104" t="s">
        <v>611</v>
      </c>
      <c r="C185" s="22" t="s">
        <v>416</v>
      </c>
      <c r="D185" s="22"/>
      <c r="E185" s="22"/>
      <c r="F185" s="38">
        <f>F186</f>
        <v>26161</v>
      </c>
      <c r="G185" s="38">
        <f t="shared" si="64"/>
        <v>26045.143189999999</v>
      </c>
      <c r="H185" s="127">
        <f t="shared" si="58"/>
        <v>99.557139214861806</v>
      </c>
    </row>
    <row r="186" spans="1:8" s="100" customFormat="1" ht="12" x14ac:dyDescent="0.2">
      <c r="A186" s="65" t="s">
        <v>362</v>
      </c>
      <c r="B186" s="104" t="s">
        <v>611</v>
      </c>
      <c r="C186" s="22" t="s">
        <v>416</v>
      </c>
      <c r="D186" s="22" t="s">
        <v>469</v>
      </c>
      <c r="E186" s="22"/>
      <c r="F186" s="38">
        <f>F187</f>
        <v>26161</v>
      </c>
      <c r="G186" s="38">
        <f t="shared" si="64"/>
        <v>26045.143189999999</v>
      </c>
      <c r="H186" s="127">
        <f t="shared" si="58"/>
        <v>99.557139214861806</v>
      </c>
    </row>
    <row r="187" spans="1:8" s="100" customFormat="1" ht="12" x14ac:dyDescent="0.2">
      <c r="A187" s="112" t="s">
        <v>294</v>
      </c>
      <c r="B187" s="113" t="s">
        <v>611</v>
      </c>
      <c r="C187" s="113" t="s">
        <v>416</v>
      </c>
      <c r="D187" s="113" t="s">
        <v>469</v>
      </c>
      <c r="E187" s="113" t="s">
        <v>84</v>
      </c>
      <c r="F187" s="114">
        <f>F188</f>
        <v>26161</v>
      </c>
      <c r="G187" s="114">
        <f t="shared" si="64"/>
        <v>26045.143189999999</v>
      </c>
      <c r="H187" s="128">
        <f t="shared" si="58"/>
        <v>99.557139214861806</v>
      </c>
    </row>
    <row r="188" spans="1:8" s="100" customFormat="1" ht="12" x14ac:dyDescent="0.2">
      <c r="A188" s="112" t="s">
        <v>85</v>
      </c>
      <c r="B188" s="113" t="s">
        <v>611</v>
      </c>
      <c r="C188" s="113" t="s">
        <v>416</v>
      </c>
      <c r="D188" s="113" t="s">
        <v>469</v>
      </c>
      <c r="E188" s="113" t="s">
        <v>86</v>
      </c>
      <c r="F188" s="114">
        <v>26161</v>
      </c>
      <c r="G188" s="114">
        <v>26045.143189999999</v>
      </c>
      <c r="H188" s="128">
        <f t="shared" si="58"/>
        <v>99.557139214861806</v>
      </c>
    </row>
    <row r="189" spans="1:8" s="100" customFormat="1" ht="12" x14ac:dyDescent="0.2">
      <c r="A189" s="103" t="s">
        <v>254</v>
      </c>
      <c r="B189" s="104" t="s">
        <v>603</v>
      </c>
      <c r="C189" s="104"/>
      <c r="D189" s="104"/>
      <c r="E189" s="104"/>
      <c r="F189" s="105">
        <f>F190</f>
        <v>6652.7</v>
      </c>
      <c r="G189" s="105">
        <f t="shared" ref="G189:G190" si="65">G190</f>
        <v>6605.6058899999998</v>
      </c>
      <c r="H189" s="127">
        <f t="shared" si="58"/>
        <v>99.292105310625757</v>
      </c>
    </row>
    <row r="190" spans="1:8" s="100" customFormat="1" ht="12" x14ac:dyDescent="0.2">
      <c r="A190" s="49" t="s">
        <v>353</v>
      </c>
      <c r="B190" s="104" t="s">
        <v>603</v>
      </c>
      <c r="C190" s="22" t="s">
        <v>78</v>
      </c>
      <c r="D190" s="22"/>
      <c r="E190" s="22"/>
      <c r="F190" s="38">
        <f>F191</f>
        <v>6652.7</v>
      </c>
      <c r="G190" s="38">
        <f t="shared" si="65"/>
        <v>6605.6058899999998</v>
      </c>
      <c r="H190" s="127">
        <f t="shared" si="58"/>
        <v>99.292105310625757</v>
      </c>
    </row>
    <row r="191" spans="1:8" s="100" customFormat="1" ht="12" x14ac:dyDescent="0.2">
      <c r="A191" s="49" t="s">
        <v>356</v>
      </c>
      <c r="B191" s="104" t="s">
        <v>603</v>
      </c>
      <c r="C191" s="22" t="s">
        <v>78</v>
      </c>
      <c r="D191" s="22" t="s">
        <v>476</v>
      </c>
      <c r="E191" s="22"/>
      <c r="F191" s="38">
        <f>F192+F194+F196</f>
        <v>6652.7</v>
      </c>
      <c r="G191" s="38">
        <f t="shared" ref="G191" si="66">G192+G194+G196</f>
        <v>6605.6058899999998</v>
      </c>
      <c r="H191" s="127">
        <f t="shared" si="58"/>
        <v>99.292105310625757</v>
      </c>
    </row>
    <row r="192" spans="1:8" s="100" customFormat="1" ht="36" x14ac:dyDescent="0.2">
      <c r="A192" s="112" t="s">
        <v>79</v>
      </c>
      <c r="B192" s="113" t="s">
        <v>603</v>
      </c>
      <c r="C192" s="113" t="s">
        <v>78</v>
      </c>
      <c r="D192" s="113" t="s">
        <v>476</v>
      </c>
      <c r="E192" s="113" t="s">
        <v>80</v>
      </c>
      <c r="F192" s="114">
        <f>F193</f>
        <v>5896.26145</v>
      </c>
      <c r="G192" s="114">
        <f t="shared" ref="G192" si="67">G193</f>
        <v>5885.5985199999996</v>
      </c>
      <c r="H192" s="128">
        <f t="shared" si="58"/>
        <v>99.819157781749993</v>
      </c>
    </row>
    <row r="193" spans="1:8" s="100" customFormat="1" ht="12" x14ac:dyDescent="0.2">
      <c r="A193" s="112" t="s">
        <v>472</v>
      </c>
      <c r="B193" s="113" t="s">
        <v>603</v>
      </c>
      <c r="C193" s="113" t="s">
        <v>78</v>
      </c>
      <c r="D193" s="113" t="s">
        <v>476</v>
      </c>
      <c r="E193" s="113" t="s">
        <v>473</v>
      </c>
      <c r="F193" s="114">
        <f>4380+1320+0.72545+195.536</f>
        <v>5896.26145</v>
      </c>
      <c r="G193" s="114">
        <v>5885.5985199999996</v>
      </c>
      <c r="H193" s="128">
        <f t="shared" si="58"/>
        <v>99.819157781749993</v>
      </c>
    </row>
    <row r="194" spans="1:8" s="100" customFormat="1" ht="12" x14ac:dyDescent="0.2">
      <c r="A194" s="112" t="s">
        <v>294</v>
      </c>
      <c r="B194" s="113" t="s">
        <v>603</v>
      </c>
      <c r="C194" s="113" t="s">
        <v>78</v>
      </c>
      <c r="D194" s="113" t="s">
        <v>476</v>
      </c>
      <c r="E194" s="113" t="s">
        <v>84</v>
      </c>
      <c r="F194" s="114">
        <f>F195</f>
        <v>714.76254999999992</v>
      </c>
      <c r="G194" s="114">
        <f t="shared" ref="G194" si="68">G195</f>
        <v>682.15337</v>
      </c>
      <c r="H194" s="128">
        <f t="shared" si="58"/>
        <v>95.437760414280248</v>
      </c>
    </row>
    <row r="195" spans="1:8" s="100" customFormat="1" ht="12" x14ac:dyDescent="0.2">
      <c r="A195" s="112" t="s">
        <v>85</v>
      </c>
      <c r="B195" s="113" t="s">
        <v>603</v>
      </c>
      <c r="C195" s="113" t="s">
        <v>78</v>
      </c>
      <c r="D195" s="113" t="s">
        <v>476</v>
      </c>
      <c r="E195" s="113" t="s">
        <v>86</v>
      </c>
      <c r="F195" s="114">
        <f>24.2+75+53.4+198.4+433-0.72545-16.676+143.7-195.536</f>
        <v>714.76254999999992</v>
      </c>
      <c r="G195" s="114">
        <v>682.15337</v>
      </c>
      <c r="H195" s="128">
        <f t="shared" si="58"/>
        <v>95.437760414280248</v>
      </c>
    </row>
    <row r="196" spans="1:8" s="100" customFormat="1" ht="12" x14ac:dyDescent="0.2">
      <c r="A196" s="112" t="s">
        <v>87</v>
      </c>
      <c r="B196" s="113" t="s">
        <v>603</v>
      </c>
      <c r="C196" s="113" t="s">
        <v>78</v>
      </c>
      <c r="D196" s="113" t="s">
        <v>476</v>
      </c>
      <c r="E196" s="113" t="s">
        <v>88</v>
      </c>
      <c r="F196" s="114">
        <f>F197</f>
        <v>41.676000000000002</v>
      </c>
      <c r="G196" s="114">
        <f t="shared" ref="G196" si="69">G197</f>
        <v>37.853999999999999</v>
      </c>
      <c r="H196" s="128">
        <f t="shared" si="58"/>
        <v>90.829254247048652</v>
      </c>
    </row>
    <row r="197" spans="1:8" s="100" customFormat="1" ht="12" x14ac:dyDescent="0.2">
      <c r="A197" s="112" t="s">
        <v>154</v>
      </c>
      <c r="B197" s="113" t="s">
        <v>603</v>
      </c>
      <c r="C197" s="113" t="s">
        <v>78</v>
      </c>
      <c r="D197" s="113" t="s">
        <v>476</v>
      </c>
      <c r="E197" s="113" t="s">
        <v>89</v>
      </c>
      <c r="F197" s="114">
        <f>25+16.676</f>
        <v>41.676000000000002</v>
      </c>
      <c r="G197" s="114">
        <v>37.853999999999999</v>
      </c>
      <c r="H197" s="128">
        <f t="shared" si="58"/>
        <v>90.829254247048652</v>
      </c>
    </row>
    <row r="198" spans="1:8" s="100" customFormat="1" ht="24" x14ac:dyDescent="0.2">
      <c r="A198" s="103" t="s">
        <v>255</v>
      </c>
      <c r="B198" s="104" t="s">
        <v>612</v>
      </c>
      <c r="C198" s="104"/>
      <c r="D198" s="104"/>
      <c r="E198" s="104"/>
      <c r="F198" s="105">
        <f>F199</f>
        <v>205791.19699999999</v>
      </c>
      <c r="G198" s="105">
        <f t="shared" ref="G198:G201" si="70">G199</f>
        <v>205586.21046</v>
      </c>
      <c r="H198" s="127">
        <f t="shared" si="58"/>
        <v>99.900391006521048</v>
      </c>
    </row>
    <row r="199" spans="1:8" s="100" customFormat="1" ht="12" x14ac:dyDescent="0.2">
      <c r="A199" s="65" t="s">
        <v>358</v>
      </c>
      <c r="B199" s="104" t="s">
        <v>612</v>
      </c>
      <c r="C199" s="22" t="s">
        <v>416</v>
      </c>
      <c r="D199" s="22"/>
      <c r="E199" s="22"/>
      <c r="F199" s="38">
        <f>F200</f>
        <v>205791.19699999999</v>
      </c>
      <c r="G199" s="38">
        <f t="shared" si="70"/>
        <v>205586.21046</v>
      </c>
      <c r="H199" s="127">
        <f t="shared" si="58"/>
        <v>99.900391006521048</v>
      </c>
    </row>
    <row r="200" spans="1:8" s="100" customFormat="1" ht="12" x14ac:dyDescent="0.2">
      <c r="A200" s="65" t="s">
        <v>362</v>
      </c>
      <c r="B200" s="104" t="s">
        <v>612</v>
      </c>
      <c r="C200" s="22" t="s">
        <v>416</v>
      </c>
      <c r="D200" s="22" t="s">
        <v>469</v>
      </c>
      <c r="E200" s="22"/>
      <c r="F200" s="38">
        <f>F201</f>
        <v>205791.19699999999</v>
      </c>
      <c r="G200" s="38">
        <f t="shared" si="70"/>
        <v>205586.21046</v>
      </c>
      <c r="H200" s="127">
        <f t="shared" si="58"/>
        <v>99.900391006521048</v>
      </c>
    </row>
    <row r="201" spans="1:8" s="100" customFormat="1" ht="12" x14ac:dyDescent="0.2">
      <c r="A201" s="112" t="s">
        <v>104</v>
      </c>
      <c r="B201" s="113" t="s">
        <v>612</v>
      </c>
      <c r="C201" s="113" t="s">
        <v>416</v>
      </c>
      <c r="D201" s="113" t="s">
        <v>469</v>
      </c>
      <c r="E201" s="113" t="s">
        <v>391</v>
      </c>
      <c r="F201" s="114">
        <f>F202</f>
        <v>205791.19699999999</v>
      </c>
      <c r="G201" s="114">
        <f t="shared" si="70"/>
        <v>205586.21046</v>
      </c>
      <c r="H201" s="128">
        <f t="shared" si="58"/>
        <v>99.900391006521048</v>
      </c>
    </row>
    <row r="202" spans="1:8" s="100" customFormat="1" ht="12" x14ac:dyDescent="0.2">
      <c r="A202" s="112" t="s">
        <v>105</v>
      </c>
      <c r="B202" s="113" t="s">
        <v>612</v>
      </c>
      <c r="C202" s="113" t="s">
        <v>416</v>
      </c>
      <c r="D202" s="113" t="s">
        <v>469</v>
      </c>
      <c r="E202" s="113" t="s">
        <v>409</v>
      </c>
      <c r="F202" s="114">
        <f>164000+7000+37000-2208.803</f>
        <v>205791.19699999999</v>
      </c>
      <c r="G202" s="114">
        <v>205586.21046</v>
      </c>
      <c r="H202" s="128">
        <f t="shared" si="58"/>
        <v>99.900391006521048</v>
      </c>
    </row>
    <row r="203" spans="1:8" s="100" customFormat="1" ht="12" x14ac:dyDescent="0.2">
      <c r="A203" s="103" t="s">
        <v>244</v>
      </c>
      <c r="B203" s="104" t="s">
        <v>613</v>
      </c>
      <c r="C203" s="104"/>
      <c r="D203" s="104"/>
      <c r="E203" s="104"/>
      <c r="F203" s="105">
        <f>F204</f>
        <v>11922</v>
      </c>
      <c r="G203" s="105">
        <f t="shared" ref="G203:G206" si="71">G204</f>
        <v>11920.171840000001</v>
      </c>
      <c r="H203" s="127">
        <f t="shared" si="58"/>
        <v>99.984665660124151</v>
      </c>
    </row>
    <row r="204" spans="1:8" s="100" customFormat="1" ht="12" x14ac:dyDescent="0.2">
      <c r="A204" s="65" t="s">
        <v>358</v>
      </c>
      <c r="B204" s="104" t="s">
        <v>613</v>
      </c>
      <c r="C204" s="22" t="s">
        <v>416</v>
      </c>
      <c r="D204" s="22"/>
      <c r="E204" s="22"/>
      <c r="F204" s="38">
        <f>F205</f>
        <v>11922</v>
      </c>
      <c r="G204" s="38">
        <f t="shared" si="71"/>
        <v>11920.171840000001</v>
      </c>
      <c r="H204" s="127">
        <f t="shared" si="58"/>
        <v>99.984665660124151</v>
      </c>
    </row>
    <row r="205" spans="1:8" s="100" customFormat="1" ht="12" x14ac:dyDescent="0.2">
      <c r="A205" s="65" t="s">
        <v>362</v>
      </c>
      <c r="B205" s="104" t="s">
        <v>613</v>
      </c>
      <c r="C205" s="22" t="s">
        <v>416</v>
      </c>
      <c r="D205" s="22" t="s">
        <v>469</v>
      </c>
      <c r="E205" s="22"/>
      <c r="F205" s="38">
        <f>F206</f>
        <v>11922</v>
      </c>
      <c r="G205" s="38">
        <f t="shared" si="71"/>
        <v>11920.171840000001</v>
      </c>
      <c r="H205" s="127">
        <f t="shared" si="58"/>
        <v>99.984665660124151</v>
      </c>
    </row>
    <row r="206" spans="1:8" s="100" customFormat="1" ht="12" x14ac:dyDescent="0.2">
      <c r="A206" s="112" t="s">
        <v>294</v>
      </c>
      <c r="B206" s="113" t="s">
        <v>613</v>
      </c>
      <c r="C206" s="113" t="s">
        <v>416</v>
      </c>
      <c r="D206" s="113" t="s">
        <v>469</v>
      </c>
      <c r="E206" s="113" t="s">
        <v>84</v>
      </c>
      <c r="F206" s="114">
        <f>F207</f>
        <v>11922</v>
      </c>
      <c r="G206" s="114">
        <f t="shared" si="71"/>
        <v>11920.171840000001</v>
      </c>
      <c r="H206" s="128">
        <f t="shared" si="58"/>
        <v>99.984665660124151</v>
      </c>
    </row>
    <row r="207" spans="1:8" s="100" customFormat="1" ht="12" x14ac:dyDescent="0.2">
      <c r="A207" s="112" t="s">
        <v>85</v>
      </c>
      <c r="B207" s="113" t="s">
        <v>613</v>
      </c>
      <c r="C207" s="113" t="s">
        <v>416</v>
      </c>
      <c r="D207" s="113" t="s">
        <v>469</v>
      </c>
      <c r="E207" s="113" t="s">
        <v>86</v>
      </c>
      <c r="F207" s="114">
        <f>48922-37000</f>
        <v>11922</v>
      </c>
      <c r="G207" s="114">
        <v>11920.171840000001</v>
      </c>
      <c r="H207" s="128">
        <f t="shared" si="58"/>
        <v>99.984665660124151</v>
      </c>
    </row>
    <row r="208" spans="1:8" s="100" customFormat="1" ht="12" x14ac:dyDescent="0.2">
      <c r="A208" s="120" t="s">
        <v>334</v>
      </c>
      <c r="B208" s="104" t="s">
        <v>249</v>
      </c>
      <c r="C208" s="104"/>
      <c r="D208" s="104"/>
      <c r="E208" s="104"/>
      <c r="F208" s="105">
        <f>F209</f>
        <v>6663</v>
      </c>
      <c r="G208" s="105">
        <f t="shared" ref="G208" si="72">G209</f>
        <v>6659.6762399999998</v>
      </c>
      <c r="H208" s="127">
        <f t="shared" si="58"/>
        <v>99.950116163890129</v>
      </c>
    </row>
    <row r="209" spans="1:8" s="100" customFormat="1" ht="24" x14ac:dyDescent="0.2">
      <c r="A209" s="117" t="s">
        <v>393</v>
      </c>
      <c r="B209" s="118" t="s">
        <v>249</v>
      </c>
      <c r="C209" s="118"/>
      <c r="D209" s="118"/>
      <c r="E209" s="118"/>
      <c r="F209" s="119">
        <f>F210+F215</f>
        <v>6663</v>
      </c>
      <c r="G209" s="119">
        <f t="shared" ref="G209" si="73">G210+G215</f>
        <v>6659.6762399999998</v>
      </c>
      <c r="H209" s="129">
        <f t="shared" si="58"/>
        <v>99.950116163890129</v>
      </c>
    </row>
    <row r="210" spans="1:8" s="100" customFormat="1" ht="12" x14ac:dyDescent="0.2">
      <c r="A210" s="65" t="s">
        <v>358</v>
      </c>
      <c r="B210" s="104" t="s">
        <v>335</v>
      </c>
      <c r="C210" s="22" t="s">
        <v>416</v>
      </c>
      <c r="D210" s="22"/>
      <c r="E210" s="118"/>
      <c r="F210" s="105">
        <f>F211</f>
        <v>6470</v>
      </c>
      <c r="G210" s="105">
        <f t="shared" ref="G210:G213" si="74">G211</f>
        <v>6470</v>
      </c>
      <c r="H210" s="127">
        <f t="shared" si="58"/>
        <v>100</v>
      </c>
    </row>
    <row r="211" spans="1:8" s="100" customFormat="1" ht="12" x14ac:dyDescent="0.2">
      <c r="A211" s="65" t="s">
        <v>363</v>
      </c>
      <c r="B211" s="104" t="s">
        <v>335</v>
      </c>
      <c r="C211" s="22" t="s">
        <v>416</v>
      </c>
      <c r="D211" s="22" t="s">
        <v>416</v>
      </c>
      <c r="E211" s="118"/>
      <c r="F211" s="105">
        <f>F212</f>
        <v>6470</v>
      </c>
      <c r="G211" s="105">
        <f t="shared" si="74"/>
        <v>6470</v>
      </c>
      <c r="H211" s="127">
        <f t="shared" si="58"/>
        <v>100</v>
      </c>
    </row>
    <row r="212" spans="1:8" s="100" customFormat="1" ht="12" x14ac:dyDescent="0.2">
      <c r="A212" s="120" t="s">
        <v>375</v>
      </c>
      <c r="B212" s="104" t="s">
        <v>335</v>
      </c>
      <c r="C212" s="104" t="s">
        <v>416</v>
      </c>
      <c r="D212" s="104" t="s">
        <v>416</v>
      </c>
      <c r="E212" s="104"/>
      <c r="F212" s="105">
        <f>F213</f>
        <v>6470</v>
      </c>
      <c r="G212" s="105">
        <f t="shared" si="74"/>
        <v>6470</v>
      </c>
      <c r="H212" s="127">
        <f t="shared" si="58"/>
        <v>100</v>
      </c>
    </row>
    <row r="213" spans="1:8" s="100" customFormat="1" ht="36" x14ac:dyDescent="0.2">
      <c r="A213" s="112" t="s">
        <v>79</v>
      </c>
      <c r="B213" s="113" t="s">
        <v>335</v>
      </c>
      <c r="C213" s="113" t="s">
        <v>416</v>
      </c>
      <c r="D213" s="113" t="s">
        <v>416</v>
      </c>
      <c r="E213" s="113" t="s">
        <v>80</v>
      </c>
      <c r="F213" s="114">
        <f>F214</f>
        <v>6470</v>
      </c>
      <c r="G213" s="114">
        <f t="shared" si="74"/>
        <v>6470</v>
      </c>
      <c r="H213" s="128">
        <f t="shared" si="58"/>
        <v>100</v>
      </c>
    </row>
    <row r="214" spans="1:8" s="100" customFormat="1" ht="12" x14ac:dyDescent="0.2">
      <c r="A214" s="112" t="s">
        <v>81</v>
      </c>
      <c r="B214" s="113" t="s">
        <v>335</v>
      </c>
      <c r="C214" s="113" t="s">
        <v>416</v>
      </c>
      <c r="D214" s="113" t="s">
        <v>416</v>
      </c>
      <c r="E214" s="113" t="s">
        <v>82</v>
      </c>
      <c r="F214" s="114">
        <f>4970+1500</f>
        <v>6470</v>
      </c>
      <c r="G214" s="114">
        <v>6470</v>
      </c>
      <c r="H214" s="128">
        <f t="shared" si="58"/>
        <v>100</v>
      </c>
    </row>
    <row r="215" spans="1:8" s="100" customFormat="1" ht="12" x14ac:dyDescent="0.2">
      <c r="A215" s="103" t="s">
        <v>83</v>
      </c>
      <c r="B215" s="104" t="s">
        <v>336</v>
      </c>
      <c r="C215" s="104"/>
      <c r="D215" s="104"/>
      <c r="E215" s="104"/>
      <c r="F215" s="105">
        <f>F216</f>
        <v>193</v>
      </c>
      <c r="G215" s="105">
        <f t="shared" ref="G215:G216" si="75">G216</f>
        <v>189.67624000000001</v>
      </c>
      <c r="H215" s="127">
        <f t="shared" si="58"/>
        <v>98.277844559585489</v>
      </c>
    </row>
    <row r="216" spans="1:8" s="100" customFormat="1" ht="12" x14ac:dyDescent="0.2">
      <c r="A216" s="65" t="s">
        <v>358</v>
      </c>
      <c r="B216" s="104" t="s">
        <v>336</v>
      </c>
      <c r="C216" s="22" t="s">
        <v>416</v>
      </c>
      <c r="D216" s="22"/>
      <c r="E216" s="104"/>
      <c r="F216" s="105">
        <f>F217</f>
        <v>193</v>
      </c>
      <c r="G216" s="105">
        <f t="shared" si="75"/>
        <v>189.67624000000001</v>
      </c>
      <c r="H216" s="127">
        <f t="shared" si="58"/>
        <v>98.277844559585489</v>
      </c>
    </row>
    <row r="217" spans="1:8" s="100" customFormat="1" ht="12" x14ac:dyDescent="0.2">
      <c r="A217" s="65" t="s">
        <v>363</v>
      </c>
      <c r="B217" s="104" t="s">
        <v>336</v>
      </c>
      <c r="C217" s="22" t="s">
        <v>416</v>
      </c>
      <c r="D217" s="22" t="s">
        <v>416</v>
      </c>
      <c r="E217" s="104"/>
      <c r="F217" s="105">
        <f>F218+F220</f>
        <v>193</v>
      </c>
      <c r="G217" s="105">
        <f t="shared" ref="G217" si="76">G218+G220</f>
        <v>189.67624000000001</v>
      </c>
      <c r="H217" s="127">
        <f t="shared" si="58"/>
        <v>98.277844559585489</v>
      </c>
    </row>
    <row r="218" spans="1:8" s="100" customFormat="1" ht="12" x14ac:dyDescent="0.2">
      <c r="A218" s="112" t="s">
        <v>294</v>
      </c>
      <c r="B218" s="113" t="s">
        <v>336</v>
      </c>
      <c r="C218" s="113" t="s">
        <v>416</v>
      </c>
      <c r="D218" s="113" t="s">
        <v>416</v>
      </c>
      <c r="E218" s="113" t="s">
        <v>84</v>
      </c>
      <c r="F218" s="114">
        <f>F219</f>
        <v>190</v>
      </c>
      <c r="G218" s="114">
        <f t="shared" ref="G218" si="77">G219</f>
        <v>189.67624000000001</v>
      </c>
      <c r="H218" s="128">
        <f t="shared" ref="H218:H281" si="78">G218/F218*100</f>
        <v>99.829600000000013</v>
      </c>
    </row>
    <row r="219" spans="1:8" s="100" customFormat="1" ht="12" x14ac:dyDescent="0.2">
      <c r="A219" s="112" t="s">
        <v>85</v>
      </c>
      <c r="B219" s="113" t="s">
        <v>336</v>
      </c>
      <c r="C219" s="113" t="s">
        <v>416</v>
      </c>
      <c r="D219" s="113" t="s">
        <v>416</v>
      </c>
      <c r="E219" s="113" t="s">
        <v>86</v>
      </c>
      <c r="F219" s="114">
        <f>60+30+30+35+35</f>
        <v>190</v>
      </c>
      <c r="G219" s="114">
        <v>189.67624000000001</v>
      </c>
      <c r="H219" s="128">
        <f t="shared" si="78"/>
        <v>99.829600000000013</v>
      </c>
    </row>
    <row r="220" spans="1:8" s="100" customFormat="1" ht="12" x14ac:dyDescent="0.2">
      <c r="A220" s="112" t="s">
        <v>87</v>
      </c>
      <c r="B220" s="113" t="s">
        <v>336</v>
      </c>
      <c r="C220" s="113" t="s">
        <v>416</v>
      </c>
      <c r="D220" s="113" t="s">
        <v>416</v>
      </c>
      <c r="E220" s="113" t="s">
        <v>88</v>
      </c>
      <c r="F220" s="114">
        <f>F221</f>
        <v>3</v>
      </c>
      <c r="G220" s="212">
        <f t="shared" ref="G220" si="79">G221</f>
        <v>0</v>
      </c>
      <c r="H220" s="127">
        <f t="shared" si="78"/>
        <v>0</v>
      </c>
    </row>
    <row r="221" spans="1:8" s="100" customFormat="1" ht="12" x14ac:dyDescent="0.2">
      <c r="A221" s="112" t="s">
        <v>500</v>
      </c>
      <c r="B221" s="113" t="s">
        <v>336</v>
      </c>
      <c r="C221" s="113" t="s">
        <v>416</v>
      </c>
      <c r="D221" s="113" t="s">
        <v>416</v>
      </c>
      <c r="E221" s="113" t="s">
        <v>89</v>
      </c>
      <c r="F221" s="114">
        <v>3</v>
      </c>
      <c r="G221" s="212">
        <v>0</v>
      </c>
      <c r="H221" s="127">
        <f t="shared" si="78"/>
        <v>0</v>
      </c>
    </row>
    <row r="222" spans="1:8" s="100" customFormat="1" ht="12" x14ac:dyDescent="0.2">
      <c r="A222" s="103" t="s">
        <v>695</v>
      </c>
      <c r="B222" s="104" t="s">
        <v>696</v>
      </c>
      <c r="C222" s="104"/>
      <c r="D222" s="104"/>
      <c r="E222" s="104"/>
      <c r="F222" s="105">
        <f>F223</f>
        <v>351.07499999999999</v>
      </c>
      <c r="G222" s="105">
        <f t="shared" ref="G222:G225" si="80">G223</f>
        <v>351.07499999999999</v>
      </c>
      <c r="H222" s="127">
        <f t="shared" si="78"/>
        <v>100</v>
      </c>
    </row>
    <row r="223" spans="1:8" s="100" customFormat="1" ht="12" x14ac:dyDescent="0.2">
      <c r="A223" s="49" t="s">
        <v>379</v>
      </c>
      <c r="B223" s="104" t="s">
        <v>696</v>
      </c>
      <c r="C223" s="22" t="s">
        <v>474</v>
      </c>
      <c r="D223" s="22"/>
      <c r="E223" s="104"/>
      <c r="F223" s="105">
        <f>F224</f>
        <v>351.07499999999999</v>
      </c>
      <c r="G223" s="105">
        <f t="shared" si="80"/>
        <v>351.07499999999999</v>
      </c>
      <c r="H223" s="127">
        <f t="shared" si="78"/>
        <v>100</v>
      </c>
    </row>
    <row r="224" spans="1:8" s="100" customFormat="1" ht="12" x14ac:dyDescent="0.2">
      <c r="A224" s="49" t="s">
        <v>453</v>
      </c>
      <c r="B224" s="104" t="s">
        <v>696</v>
      </c>
      <c r="C224" s="22" t="s">
        <v>474</v>
      </c>
      <c r="D224" s="22" t="s">
        <v>78</v>
      </c>
      <c r="E224" s="104"/>
      <c r="F224" s="105">
        <f>F225</f>
        <v>351.07499999999999</v>
      </c>
      <c r="G224" s="105">
        <f t="shared" si="80"/>
        <v>351.07499999999999</v>
      </c>
      <c r="H224" s="127">
        <f t="shared" si="78"/>
        <v>100</v>
      </c>
    </row>
    <row r="225" spans="1:8" s="100" customFormat="1" ht="12" x14ac:dyDescent="0.2">
      <c r="A225" s="112" t="s">
        <v>294</v>
      </c>
      <c r="B225" s="113" t="s">
        <v>696</v>
      </c>
      <c r="C225" s="113" t="s">
        <v>474</v>
      </c>
      <c r="D225" s="113" t="s">
        <v>78</v>
      </c>
      <c r="E225" s="113" t="s">
        <v>84</v>
      </c>
      <c r="F225" s="114">
        <f>F226</f>
        <v>351.07499999999999</v>
      </c>
      <c r="G225" s="114">
        <f t="shared" si="80"/>
        <v>351.07499999999999</v>
      </c>
      <c r="H225" s="128">
        <f t="shared" si="78"/>
        <v>100</v>
      </c>
    </row>
    <row r="226" spans="1:8" s="100" customFormat="1" ht="12" x14ac:dyDescent="0.2">
      <c r="A226" s="112" t="s">
        <v>85</v>
      </c>
      <c r="B226" s="113" t="s">
        <v>696</v>
      </c>
      <c r="C226" s="113" t="s">
        <v>474</v>
      </c>
      <c r="D226" s="113" t="s">
        <v>78</v>
      </c>
      <c r="E226" s="113" t="s">
        <v>86</v>
      </c>
      <c r="F226" s="114">
        <v>351.07499999999999</v>
      </c>
      <c r="G226" s="114">
        <v>351.07499999999999</v>
      </c>
      <c r="H226" s="128">
        <f t="shared" si="78"/>
        <v>100</v>
      </c>
    </row>
    <row r="227" spans="1:8" s="100" customFormat="1" ht="12" x14ac:dyDescent="0.2">
      <c r="A227" s="103" t="s">
        <v>697</v>
      </c>
      <c r="B227" s="104" t="s">
        <v>698</v>
      </c>
      <c r="C227" s="104"/>
      <c r="D227" s="104"/>
      <c r="E227" s="104"/>
      <c r="F227" s="105">
        <f>F228</f>
        <v>0.5</v>
      </c>
      <c r="G227" s="105">
        <f t="shared" ref="G227:G230" si="81">G228</f>
        <v>0.5</v>
      </c>
      <c r="H227" s="127">
        <f t="shared" si="78"/>
        <v>100</v>
      </c>
    </row>
    <row r="228" spans="1:8" s="100" customFormat="1" ht="12" x14ac:dyDescent="0.2">
      <c r="A228" s="146" t="s">
        <v>379</v>
      </c>
      <c r="B228" s="104" t="s">
        <v>698</v>
      </c>
      <c r="C228" s="104" t="s">
        <v>474</v>
      </c>
      <c r="D228" s="104"/>
      <c r="E228" s="104"/>
      <c r="F228" s="105">
        <f>F229</f>
        <v>0.5</v>
      </c>
      <c r="G228" s="105">
        <f t="shared" si="81"/>
        <v>0.5</v>
      </c>
      <c r="H228" s="127">
        <f t="shared" si="78"/>
        <v>100</v>
      </c>
    </row>
    <row r="229" spans="1:8" s="100" customFormat="1" ht="12" x14ac:dyDescent="0.2">
      <c r="A229" s="146" t="s">
        <v>453</v>
      </c>
      <c r="B229" s="104" t="s">
        <v>698</v>
      </c>
      <c r="C229" s="104" t="s">
        <v>474</v>
      </c>
      <c r="D229" s="104" t="s">
        <v>78</v>
      </c>
      <c r="E229" s="104"/>
      <c r="F229" s="105">
        <f>F230</f>
        <v>0.5</v>
      </c>
      <c r="G229" s="105">
        <f t="shared" si="81"/>
        <v>0.5</v>
      </c>
      <c r="H229" s="127">
        <f t="shared" si="78"/>
        <v>100</v>
      </c>
    </row>
    <row r="230" spans="1:8" s="100" customFormat="1" ht="12" x14ac:dyDescent="0.2">
      <c r="A230" s="112" t="s">
        <v>294</v>
      </c>
      <c r="B230" s="113" t="s">
        <v>698</v>
      </c>
      <c r="C230" s="113" t="s">
        <v>474</v>
      </c>
      <c r="D230" s="113" t="s">
        <v>78</v>
      </c>
      <c r="E230" s="113" t="s">
        <v>84</v>
      </c>
      <c r="F230" s="114">
        <f>F231</f>
        <v>0.5</v>
      </c>
      <c r="G230" s="114">
        <f t="shared" si="81"/>
        <v>0.5</v>
      </c>
      <c r="H230" s="128">
        <f t="shared" si="78"/>
        <v>100</v>
      </c>
    </row>
    <row r="231" spans="1:8" s="100" customFormat="1" ht="12" x14ac:dyDescent="0.2">
      <c r="A231" s="112" t="s">
        <v>85</v>
      </c>
      <c r="B231" s="113" t="s">
        <v>698</v>
      </c>
      <c r="C231" s="113" t="s">
        <v>474</v>
      </c>
      <c r="D231" s="113" t="s">
        <v>78</v>
      </c>
      <c r="E231" s="113" t="s">
        <v>86</v>
      </c>
      <c r="F231" s="114">
        <v>0.5</v>
      </c>
      <c r="G231" s="114">
        <v>0.5</v>
      </c>
      <c r="H231" s="128">
        <f t="shared" si="78"/>
        <v>100</v>
      </c>
    </row>
    <row r="232" spans="1:8" s="100" customFormat="1" ht="24" x14ac:dyDescent="0.2">
      <c r="A232" s="103" t="s">
        <v>739</v>
      </c>
      <c r="B232" s="104" t="s">
        <v>740</v>
      </c>
      <c r="C232" s="104"/>
      <c r="D232" s="104"/>
      <c r="E232" s="104"/>
      <c r="F232" s="105">
        <f>F233</f>
        <v>27113.54</v>
      </c>
      <c r="G232" s="105">
        <f t="shared" ref="G232:G235" si="82">G233</f>
        <v>27113.54</v>
      </c>
      <c r="H232" s="127">
        <f t="shared" si="78"/>
        <v>100</v>
      </c>
    </row>
    <row r="233" spans="1:8" s="100" customFormat="1" ht="12" x14ac:dyDescent="0.2">
      <c r="A233" s="103" t="s">
        <v>358</v>
      </c>
      <c r="B233" s="104" t="s">
        <v>740</v>
      </c>
      <c r="C233" s="104" t="s">
        <v>416</v>
      </c>
      <c r="D233" s="104"/>
      <c r="E233" s="104"/>
      <c r="F233" s="105">
        <f>F234</f>
        <v>27113.54</v>
      </c>
      <c r="G233" s="105">
        <f t="shared" si="82"/>
        <v>27113.54</v>
      </c>
      <c r="H233" s="127">
        <f t="shared" si="78"/>
        <v>100</v>
      </c>
    </row>
    <row r="234" spans="1:8" s="100" customFormat="1" ht="12" x14ac:dyDescent="0.2">
      <c r="A234" s="146" t="s">
        <v>360</v>
      </c>
      <c r="B234" s="104" t="s">
        <v>740</v>
      </c>
      <c r="C234" s="104" t="s">
        <v>416</v>
      </c>
      <c r="D234" s="104" t="s">
        <v>477</v>
      </c>
      <c r="E234" s="104"/>
      <c r="F234" s="105">
        <f>F235</f>
        <v>27113.54</v>
      </c>
      <c r="G234" s="105">
        <f t="shared" si="82"/>
        <v>27113.54</v>
      </c>
      <c r="H234" s="127">
        <f t="shared" si="78"/>
        <v>100</v>
      </c>
    </row>
    <row r="235" spans="1:8" s="100" customFormat="1" ht="12" x14ac:dyDescent="0.2">
      <c r="A235" s="112" t="s">
        <v>104</v>
      </c>
      <c r="B235" s="113" t="s">
        <v>740</v>
      </c>
      <c r="C235" s="113" t="s">
        <v>416</v>
      </c>
      <c r="D235" s="113" t="s">
        <v>477</v>
      </c>
      <c r="E235" s="113" t="s">
        <v>391</v>
      </c>
      <c r="F235" s="114">
        <f>F236</f>
        <v>27113.54</v>
      </c>
      <c r="G235" s="114">
        <f t="shared" si="82"/>
        <v>27113.54</v>
      </c>
      <c r="H235" s="128">
        <f t="shared" si="78"/>
        <v>100</v>
      </c>
    </row>
    <row r="236" spans="1:8" s="100" customFormat="1" ht="12" x14ac:dyDescent="0.2">
      <c r="A236" s="112" t="s">
        <v>105</v>
      </c>
      <c r="B236" s="113" t="s">
        <v>740</v>
      </c>
      <c r="C236" s="113" t="s">
        <v>416</v>
      </c>
      <c r="D236" s="113" t="s">
        <v>477</v>
      </c>
      <c r="E236" s="113" t="s">
        <v>409</v>
      </c>
      <c r="F236" s="114">
        <v>27113.54</v>
      </c>
      <c r="G236" s="114">
        <v>27113.54</v>
      </c>
      <c r="H236" s="128">
        <f t="shared" si="78"/>
        <v>100</v>
      </c>
    </row>
    <row r="237" spans="1:8" s="100" customFormat="1" ht="27.75" customHeight="1" x14ac:dyDescent="0.2">
      <c r="A237" s="184" t="s">
        <v>551</v>
      </c>
      <c r="B237" s="185" t="s">
        <v>670</v>
      </c>
      <c r="C237" s="185"/>
      <c r="D237" s="185"/>
      <c r="E237" s="185"/>
      <c r="F237" s="186">
        <f>F238+F243+F248+F253+F258</f>
        <v>1260</v>
      </c>
      <c r="G237" s="186">
        <f t="shared" ref="G237" si="83">G238+G243+G248+G253+G258</f>
        <v>0</v>
      </c>
      <c r="H237" s="186">
        <f>G237/F237*100</f>
        <v>0</v>
      </c>
    </row>
    <row r="238" spans="1:8" s="100" customFormat="1" ht="48" x14ac:dyDescent="0.2">
      <c r="A238" s="146" t="s">
        <v>552</v>
      </c>
      <c r="B238" s="104" t="s">
        <v>553</v>
      </c>
      <c r="C238" s="104"/>
      <c r="D238" s="104"/>
      <c r="E238" s="104"/>
      <c r="F238" s="147">
        <f>F239</f>
        <v>200</v>
      </c>
      <c r="G238" s="147">
        <f t="shared" ref="G238" si="84">G239</f>
        <v>0</v>
      </c>
      <c r="H238" s="127">
        <f t="shared" si="78"/>
        <v>0</v>
      </c>
    </row>
    <row r="239" spans="1:8" s="100" customFormat="1" ht="12" x14ac:dyDescent="0.2">
      <c r="A239" s="49" t="s">
        <v>353</v>
      </c>
      <c r="B239" s="104" t="s">
        <v>553</v>
      </c>
      <c r="C239" s="22" t="s">
        <v>78</v>
      </c>
      <c r="D239" s="22"/>
      <c r="E239" s="22"/>
      <c r="F239" s="33">
        <f t="shared" ref="F239:G241" si="85">F240</f>
        <v>200</v>
      </c>
      <c r="G239" s="33">
        <f t="shared" si="85"/>
        <v>0</v>
      </c>
      <c r="H239" s="127">
        <f t="shared" si="78"/>
        <v>0</v>
      </c>
    </row>
    <row r="240" spans="1:8" s="100" customFormat="1" ht="12" x14ac:dyDescent="0.2">
      <c r="A240" s="49" t="s">
        <v>388</v>
      </c>
      <c r="B240" s="104" t="s">
        <v>553</v>
      </c>
      <c r="C240" s="22" t="s">
        <v>78</v>
      </c>
      <c r="D240" s="22" t="s">
        <v>475</v>
      </c>
      <c r="E240" s="22"/>
      <c r="F240" s="33">
        <f t="shared" si="85"/>
        <v>200</v>
      </c>
      <c r="G240" s="33">
        <f t="shared" si="85"/>
        <v>0</v>
      </c>
      <c r="H240" s="127">
        <f t="shared" si="78"/>
        <v>0</v>
      </c>
    </row>
    <row r="241" spans="1:8" s="100" customFormat="1" ht="12" x14ac:dyDescent="0.2">
      <c r="A241" s="112" t="s">
        <v>294</v>
      </c>
      <c r="B241" s="113" t="s">
        <v>553</v>
      </c>
      <c r="C241" s="113" t="s">
        <v>78</v>
      </c>
      <c r="D241" s="113" t="s">
        <v>475</v>
      </c>
      <c r="E241" s="113" t="s">
        <v>84</v>
      </c>
      <c r="F241" s="148">
        <f>F242</f>
        <v>200</v>
      </c>
      <c r="G241" s="148">
        <f t="shared" si="85"/>
        <v>0</v>
      </c>
      <c r="H241" s="127">
        <f t="shared" si="78"/>
        <v>0</v>
      </c>
    </row>
    <row r="242" spans="1:8" s="100" customFormat="1" ht="12" x14ac:dyDescent="0.2">
      <c r="A242" s="112" t="s">
        <v>85</v>
      </c>
      <c r="B242" s="113" t="s">
        <v>553</v>
      </c>
      <c r="C242" s="113" t="s">
        <v>78</v>
      </c>
      <c r="D242" s="113" t="s">
        <v>475</v>
      </c>
      <c r="E242" s="113" t="s">
        <v>86</v>
      </c>
      <c r="F242" s="148">
        <v>200</v>
      </c>
      <c r="G242" s="148">
        <v>0</v>
      </c>
      <c r="H242" s="127">
        <f t="shared" si="78"/>
        <v>0</v>
      </c>
    </row>
    <row r="243" spans="1:8" s="100" customFormat="1" ht="48" x14ac:dyDescent="0.2">
      <c r="A243" s="146" t="s">
        <v>721</v>
      </c>
      <c r="B243" s="104" t="s">
        <v>554</v>
      </c>
      <c r="C243" s="104"/>
      <c r="D243" s="104"/>
      <c r="E243" s="104"/>
      <c r="F243" s="147">
        <f>F244</f>
        <v>300</v>
      </c>
      <c r="G243" s="147">
        <f t="shared" ref="G243" si="86">G244</f>
        <v>0</v>
      </c>
      <c r="H243" s="127">
        <f t="shared" si="78"/>
        <v>0</v>
      </c>
    </row>
    <row r="244" spans="1:8" s="100" customFormat="1" ht="12" x14ac:dyDescent="0.2">
      <c r="A244" s="49" t="s">
        <v>353</v>
      </c>
      <c r="B244" s="104" t="s">
        <v>554</v>
      </c>
      <c r="C244" s="22" t="s">
        <v>78</v>
      </c>
      <c r="D244" s="22"/>
      <c r="E244" s="22"/>
      <c r="F244" s="33">
        <f t="shared" ref="F244:G246" si="87">F245</f>
        <v>300</v>
      </c>
      <c r="G244" s="33">
        <f t="shared" si="87"/>
        <v>0</v>
      </c>
      <c r="H244" s="127">
        <f t="shared" si="78"/>
        <v>0</v>
      </c>
    </row>
    <row r="245" spans="1:8" s="100" customFormat="1" ht="12" x14ac:dyDescent="0.2">
      <c r="A245" s="49" t="s">
        <v>388</v>
      </c>
      <c r="B245" s="104" t="s">
        <v>554</v>
      </c>
      <c r="C245" s="22" t="s">
        <v>78</v>
      </c>
      <c r="D245" s="22" t="s">
        <v>475</v>
      </c>
      <c r="E245" s="22"/>
      <c r="F245" s="33">
        <f t="shared" si="87"/>
        <v>300</v>
      </c>
      <c r="G245" s="33">
        <f t="shared" si="87"/>
        <v>0</v>
      </c>
      <c r="H245" s="127">
        <f t="shared" si="78"/>
        <v>0</v>
      </c>
    </row>
    <row r="246" spans="1:8" s="100" customFormat="1" ht="12" x14ac:dyDescent="0.2">
      <c r="A246" s="112" t="s">
        <v>294</v>
      </c>
      <c r="B246" s="113" t="s">
        <v>554</v>
      </c>
      <c r="C246" s="113" t="s">
        <v>78</v>
      </c>
      <c r="D246" s="113" t="s">
        <v>475</v>
      </c>
      <c r="E246" s="113" t="s">
        <v>84</v>
      </c>
      <c r="F246" s="148">
        <f>F247</f>
        <v>300</v>
      </c>
      <c r="G246" s="148">
        <f t="shared" si="87"/>
        <v>0</v>
      </c>
      <c r="H246" s="127">
        <f t="shared" si="78"/>
        <v>0</v>
      </c>
    </row>
    <row r="247" spans="1:8" s="100" customFormat="1" ht="12" x14ac:dyDescent="0.2">
      <c r="A247" s="112" t="s">
        <v>85</v>
      </c>
      <c r="B247" s="113" t="s">
        <v>554</v>
      </c>
      <c r="C247" s="113" t="s">
        <v>78</v>
      </c>
      <c r="D247" s="113" t="s">
        <v>475</v>
      </c>
      <c r="E247" s="113" t="s">
        <v>86</v>
      </c>
      <c r="F247" s="148">
        <v>300</v>
      </c>
      <c r="G247" s="148">
        <v>0</v>
      </c>
      <c r="H247" s="127">
        <f t="shared" si="78"/>
        <v>0</v>
      </c>
    </row>
    <row r="248" spans="1:8" s="100" customFormat="1" ht="24" x14ac:dyDescent="0.2">
      <c r="A248" s="103" t="s">
        <v>555</v>
      </c>
      <c r="B248" s="104" t="s">
        <v>556</v>
      </c>
      <c r="C248" s="104"/>
      <c r="D248" s="104"/>
      <c r="E248" s="104"/>
      <c r="F248" s="147">
        <f>F249</f>
        <v>300</v>
      </c>
      <c r="G248" s="147">
        <f t="shared" ref="G248" si="88">G249</f>
        <v>0</v>
      </c>
      <c r="H248" s="127">
        <f t="shared" si="78"/>
        <v>0</v>
      </c>
    </row>
    <row r="249" spans="1:8" s="100" customFormat="1" ht="12" x14ac:dyDescent="0.2">
      <c r="A249" s="49" t="s">
        <v>353</v>
      </c>
      <c r="B249" s="104" t="s">
        <v>556</v>
      </c>
      <c r="C249" s="22" t="s">
        <v>78</v>
      </c>
      <c r="D249" s="22"/>
      <c r="E249" s="22"/>
      <c r="F249" s="33">
        <f t="shared" ref="F249:G251" si="89">F250</f>
        <v>300</v>
      </c>
      <c r="G249" s="33">
        <f t="shared" si="89"/>
        <v>0</v>
      </c>
      <c r="H249" s="127">
        <f t="shared" si="78"/>
        <v>0</v>
      </c>
    </row>
    <row r="250" spans="1:8" s="100" customFormat="1" ht="12" x14ac:dyDescent="0.2">
      <c r="A250" s="49" t="s">
        <v>388</v>
      </c>
      <c r="B250" s="104" t="s">
        <v>556</v>
      </c>
      <c r="C250" s="22" t="s">
        <v>78</v>
      </c>
      <c r="D250" s="22" t="s">
        <v>475</v>
      </c>
      <c r="E250" s="22"/>
      <c r="F250" s="33">
        <f t="shared" si="89"/>
        <v>300</v>
      </c>
      <c r="G250" s="33">
        <f t="shared" si="89"/>
        <v>0</v>
      </c>
      <c r="H250" s="127">
        <f t="shared" si="78"/>
        <v>0</v>
      </c>
    </row>
    <row r="251" spans="1:8" s="100" customFormat="1" ht="12" x14ac:dyDescent="0.2">
      <c r="A251" s="112" t="s">
        <v>294</v>
      </c>
      <c r="B251" s="113" t="s">
        <v>556</v>
      </c>
      <c r="C251" s="113" t="s">
        <v>78</v>
      </c>
      <c r="D251" s="113" t="s">
        <v>475</v>
      </c>
      <c r="E251" s="113" t="s">
        <v>84</v>
      </c>
      <c r="F251" s="148">
        <f>F252</f>
        <v>300</v>
      </c>
      <c r="G251" s="148">
        <f t="shared" si="89"/>
        <v>0</v>
      </c>
      <c r="H251" s="127">
        <f t="shared" si="78"/>
        <v>0</v>
      </c>
    </row>
    <row r="252" spans="1:8" s="100" customFormat="1" ht="12" x14ac:dyDescent="0.2">
      <c r="A252" s="112" t="s">
        <v>85</v>
      </c>
      <c r="B252" s="113" t="s">
        <v>556</v>
      </c>
      <c r="C252" s="113" t="s">
        <v>78</v>
      </c>
      <c r="D252" s="113" t="s">
        <v>475</v>
      </c>
      <c r="E252" s="113" t="s">
        <v>86</v>
      </c>
      <c r="F252" s="148">
        <v>300</v>
      </c>
      <c r="G252" s="148">
        <v>0</v>
      </c>
      <c r="H252" s="127">
        <f t="shared" si="78"/>
        <v>0</v>
      </c>
    </row>
    <row r="253" spans="1:8" s="100" customFormat="1" ht="24" x14ac:dyDescent="0.2">
      <c r="A253" s="103" t="s">
        <v>483</v>
      </c>
      <c r="B253" s="104" t="s">
        <v>557</v>
      </c>
      <c r="C253" s="104"/>
      <c r="D253" s="104"/>
      <c r="E253" s="104"/>
      <c r="F253" s="147">
        <f>F254</f>
        <v>400</v>
      </c>
      <c r="G253" s="147">
        <f t="shared" ref="G253" si="90">G254</f>
        <v>0</v>
      </c>
      <c r="H253" s="127">
        <f t="shared" si="78"/>
        <v>0</v>
      </c>
    </row>
    <row r="254" spans="1:8" s="100" customFormat="1" ht="12" x14ac:dyDescent="0.2">
      <c r="A254" s="49" t="s">
        <v>353</v>
      </c>
      <c r="B254" s="104" t="s">
        <v>557</v>
      </c>
      <c r="C254" s="22" t="s">
        <v>78</v>
      </c>
      <c r="D254" s="22"/>
      <c r="E254" s="22"/>
      <c r="F254" s="33">
        <f t="shared" ref="F254:G256" si="91">F255</f>
        <v>400</v>
      </c>
      <c r="G254" s="33">
        <f t="shared" si="91"/>
        <v>0</v>
      </c>
      <c r="H254" s="127">
        <f t="shared" si="78"/>
        <v>0</v>
      </c>
    </row>
    <row r="255" spans="1:8" s="100" customFormat="1" ht="12" x14ac:dyDescent="0.2">
      <c r="A255" s="49" t="s">
        <v>388</v>
      </c>
      <c r="B255" s="104" t="s">
        <v>557</v>
      </c>
      <c r="C255" s="22" t="s">
        <v>78</v>
      </c>
      <c r="D255" s="22" t="s">
        <v>475</v>
      </c>
      <c r="E255" s="22"/>
      <c r="F255" s="33">
        <f t="shared" si="91"/>
        <v>400</v>
      </c>
      <c r="G255" s="33">
        <f t="shared" si="91"/>
        <v>0</v>
      </c>
      <c r="H255" s="127">
        <f t="shared" si="78"/>
        <v>0</v>
      </c>
    </row>
    <row r="256" spans="1:8" s="100" customFormat="1" ht="12" x14ac:dyDescent="0.2">
      <c r="A256" s="112" t="s">
        <v>294</v>
      </c>
      <c r="B256" s="113" t="s">
        <v>557</v>
      </c>
      <c r="C256" s="113" t="s">
        <v>78</v>
      </c>
      <c r="D256" s="113" t="s">
        <v>475</v>
      </c>
      <c r="E256" s="113" t="s">
        <v>84</v>
      </c>
      <c r="F256" s="148">
        <f>F257</f>
        <v>400</v>
      </c>
      <c r="G256" s="148">
        <f t="shared" si="91"/>
        <v>0</v>
      </c>
      <c r="H256" s="127">
        <f t="shared" si="78"/>
        <v>0</v>
      </c>
    </row>
    <row r="257" spans="1:8" s="100" customFormat="1" ht="12" x14ac:dyDescent="0.2">
      <c r="A257" s="112" t="s">
        <v>85</v>
      </c>
      <c r="B257" s="113" t="s">
        <v>557</v>
      </c>
      <c r="C257" s="113" t="s">
        <v>78</v>
      </c>
      <c r="D257" s="113" t="s">
        <v>475</v>
      </c>
      <c r="E257" s="113" t="s">
        <v>86</v>
      </c>
      <c r="F257" s="148">
        <v>400</v>
      </c>
      <c r="G257" s="148">
        <v>0</v>
      </c>
      <c r="H257" s="127">
        <f t="shared" si="78"/>
        <v>0</v>
      </c>
    </row>
    <row r="258" spans="1:8" s="100" customFormat="1" ht="24" x14ac:dyDescent="0.2">
      <c r="A258" s="103" t="s">
        <v>558</v>
      </c>
      <c r="B258" s="104" t="s">
        <v>559</v>
      </c>
      <c r="C258" s="104"/>
      <c r="D258" s="104"/>
      <c r="E258" s="104"/>
      <c r="F258" s="147">
        <f>F259</f>
        <v>60</v>
      </c>
      <c r="G258" s="147">
        <f t="shared" ref="G258" si="92">G259</f>
        <v>0</v>
      </c>
      <c r="H258" s="127">
        <f t="shared" si="78"/>
        <v>0</v>
      </c>
    </row>
    <row r="259" spans="1:8" s="100" customFormat="1" ht="12" x14ac:dyDescent="0.2">
      <c r="A259" s="49" t="s">
        <v>353</v>
      </c>
      <c r="B259" s="104" t="s">
        <v>559</v>
      </c>
      <c r="C259" s="22" t="s">
        <v>78</v>
      </c>
      <c r="D259" s="22"/>
      <c r="E259" s="22"/>
      <c r="F259" s="33">
        <f t="shared" ref="F259:G261" si="93">F260</f>
        <v>60</v>
      </c>
      <c r="G259" s="33">
        <f t="shared" si="93"/>
        <v>0</v>
      </c>
      <c r="H259" s="127">
        <f t="shared" si="78"/>
        <v>0</v>
      </c>
    </row>
    <row r="260" spans="1:8" s="100" customFormat="1" ht="12" x14ac:dyDescent="0.2">
      <c r="A260" s="49" t="s">
        <v>388</v>
      </c>
      <c r="B260" s="104" t="s">
        <v>559</v>
      </c>
      <c r="C260" s="22" t="s">
        <v>78</v>
      </c>
      <c r="D260" s="22" t="s">
        <v>475</v>
      </c>
      <c r="E260" s="22"/>
      <c r="F260" s="33">
        <f t="shared" si="93"/>
        <v>60</v>
      </c>
      <c r="G260" s="33">
        <f t="shared" si="93"/>
        <v>0</v>
      </c>
      <c r="H260" s="127">
        <f t="shared" si="78"/>
        <v>0</v>
      </c>
    </row>
    <row r="261" spans="1:8" s="100" customFormat="1" ht="12" x14ac:dyDescent="0.2">
      <c r="A261" s="112" t="s">
        <v>294</v>
      </c>
      <c r="B261" s="113" t="s">
        <v>559</v>
      </c>
      <c r="C261" s="113" t="s">
        <v>78</v>
      </c>
      <c r="D261" s="113" t="s">
        <v>475</v>
      </c>
      <c r="E261" s="113" t="s">
        <v>84</v>
      </c>
      <c r="F261" s="148">
        <f>F262</f>
        <v>60</v>
      </c>
      <c r="G261" s="148">
        <f t="shared" si="93"/>
        <v>0</v>
      </c>
      <c r="H261" s="127">
        <f t="shared" si="78"/>
        <v>0</v>
      </c>
    </row>
    <row r="262" spans="1:8" s="100" customFormat="1" ht="12" x14ac:dyDescent="0.2">
      <c r="A262" s="112" t="s">
        <v>85</v>
      </c>
      <c r="B262" s="113" t="s">
        <v>559</v>
      </c>
      <c r="C262" s="113" t="s">
        <v>78</v>
      </c>
      <c r="D262" s="113" t="s">
        <v>475</v>
      </c>
      <c r="E262" s="113" t="s">
        <v>86</v>
      </c>
      <c r="F262" s="148">
        <f>300-240</f>
        <v>60</v>
      </c>
      <c r="G262" s="148">
        <v>0</v>
      </c>
      <c r="H262" s="127">
        <f t="shared" si="78"/>
        <v>0</v>
      </c>
    </row>
    <row r="263" spans="1:8" s="100" customFormat="1" ht="27" x14ac:dyDescent="0.2">
      <c r="A263" s="184" t="s">
        <v>290</v>
      </c>
      <c r="B263" s="187" t="s">
        <v>233</v>
      </c>
      <c r="C263" s="185"/>
      <c r="D263" s="185"/>
      <c r="E263" s="188"/>
      <c r="F263" s="189">
        <f t="shared" ref="F263:G268" si="94">F264</f>
        <v>300.34999999999991</v>
      </c>
      <c r="G263" s="189">
        <f t="shared" si="94"/>
        <v>300.35000000000002</v>
      </c>
      <c r="H263" s="189">
        <f>G263/F263*100</f>
        <v>100.00000000000004</v>
      </c>
    </row>
    <row r="264" spans="1:8" s="100" customFormat="1" ht="24" x14ac:dyDescent="0.2">
      <c r="A264" s="117" t="s">
        <v>545</v>
      </c>
      <c r="B264" s="122" t="s">
        <v>546</v>
      </c>
      <c r="C264" s="118"/>
      <c r="D264" s="118"/>
      <c r="E264" s="144"/>
      <c r="F264" s="129">
        <f t="shared" si="94"/>
        <v>300.34999999999991</v>
      </c>
      <c r="G264" s="129">
        <f t="shared" si="94"/>
        <v>300.35000000000002</v>
      </c>
      <c r="H264" s="129">
        <f t="shared" si="78"/>
        <v>100.00000000000004</v>
      </c>
    </row>
    <row r="265" spans="1:8" s="100" customFormat="1" ht="24" x14ac:dyDescent="0.2">
      <c r="A265" s="103" t="s">
        <v>547</v>
      </c>
      <c r="B265" s="135" t="s">
        <v>548</v>
      </c>
      <c r="C265" s="104"/>
      <c r="D265" s="104"/>
      <c r="E265" s="143"/>
      <c r="F265" s="127">
        <f t="shared" si="94"/>
        <v>300.34999999999991</v>
      </c>
      <c r="G265" s="127">
        <f t="shared" si="94"/>
        <v>300.35000000000002</v>
      </c>
      <c r="H265" s="127">
        <f t="shared" si="78"/>
        <v>100.00000000000004</v>
      </c>
    </row>
    <row r="266" spans="1:8" s="100" customFormat="1" ht="12" x14ac:dyDescent="0.2">
      <c r="A266" s="60" t="s">
        <v>114</v>
      </c>
      <c r="B266" s="135" t="s">
        <v>548</v>
      </c>
      <c r="C266" s="22" t="s">
        <v>76</v>
      </c>
      <c r="D266" s="22"/>
      <c r="E266" s="143"/>
      <c r="F266" s="127">
        <f t="shared" si="94"/>
        <v>300.34999999999991</v>
      </c>
      <c r="G266" s="127">
        <f t="shared" si="94"/>
        <v>300.35000000000002</v>
      </c>
      <c r="H266" s="127">
        <f t="shared" si="78"/>
        <v>100.00000000000004</v>
      </c>
    </row>
    <row r="267" spans="1:8" s="100" customFormat="1" ht="12" x14ac:dyDescent="0.2">
      <c r="A267" s="60" t="s">
        <v>411</v>
      </c>
      <c r="B267" s="135" t="s">
        <v>548</v>
      </c>
      <c r="C267" s="22" t="s">
        <v>76</v>
      </c>
      <c r="D267" s="22" t="s">
        <v>93</v>
      </c>
      <c r="E267" s="143"/>
      <c r="F267" s="127">
        <f t="shared" si="94"/>
        <v>300.34999999999991</v>
      </c>
      <c r="G267" s="127">
        <f t="shared" si="94"/>
        <v>300.35000000000002</v>
      </c>
      <c r="H267" s="127">
        <f t="shared" si="78"/>
        <v>100.00000000000004</v>
      </c>
    </row>
    <row r="268" spans="1:8" s="100" customFormat="1" ht="12" x14ac:dyDescent="0.2">
      <c r="A268" s="112" t="s">
        <v>294</v>
      </c>
      <c r="B268" s="123" t="s">
        <v>548</v>
      </c>
      <c r="C268" s="113" t="s">
        <v>76</v>
      </c>
      <c r="D268" s="113" t="s">
        <v>93</v>
      </c>
      <c r="E268" s="130">
        <v>200</v>
      </c>
      <c r="F268" s="128">
        <f t="shared" si="94"/>
        <v>300.34999999999991</v>
      </c>
      <c r="G268" s="128">
        <f t="shared" si="94"/>
        <v>300.35000000000002</v>
      </c>
      <c r="H268" s="128">
        <f t="shared" si="78"/>
        <v>100.00000000000004</v>
      </c>
    </row>
    <row r="269" spans="1:8" s="100" customFormat="1" ht="12" x14ac:dyDescent="0.2">
      <c r="A269" s="112" t="s">
        <v>85</v>
      </c>
      <c r="B269" s="123" t="s">
        <v>548</v>
      </c>
      <c r="C269" s="113" t="s">
        <v>76</v>
      </c>
      <c r="D269" s="113" t="s">
        <v>93</v>
      </c>
      <c r="E269" s="130">
        <v>240</v>
      </c>
      <c r="F269" s="128">
        <f>1720-1419.65</f>
        <v>300.34999999999991</v>
      </c>
      <c r="G269" s="128">
        <v>300.35000000000002</v>
      </c>
      <c r="H269" s="128">
        <f t="shared" si="78"/>
        <v>100.00000000000004</v>
      </c>
    </row>
    <row r="270" spans="1:8" s="100" customFormat="1" ht="27" x14ac:dyDescent="0.2">
      <c r="A270" s="184" t="s">
        <v>667</v>
      </c>
      <c r="B270" s="185" t="s">
        <v>160</v>
      </c>
      <c r="C270" s="185"/>
      <c r="D270" s="185"/>
      <c r="E270" s="185"/>
      <c r="F270" s="190">
        <f>F271+F331+F354+F371</f>
        <v>2786221.4394100001</v>
      </c>
      <c r="G270" s="190">
        <f>G271+G331+G354+G371</f>
        <v>2710097.6418700004</v>
      </c>
      <c r="H270" s="190">
        <f>G270/F270*100</f>
        <v>97.267848259895686</v>
      </c>
    </row>
    <row r="271" spans="1:8" s="100" customFormat="1" ht="12" x14ac:dyDescent="0.2">
      <c r="A271" s="103" t="s">
        <v>267</v>
      </c>
      <c r="B271" s="104" t="s">
        <v>161</v>
      </c>
      <c r="C271" s="104"/>
      <c r="D271" s="104"/>
      <c r="E271" s="104"/>
      <c r="F271" s="105">
        <f>F272+F278+F289+F295+F301+F307+F313+F284+F319+F325</f>
        <v>2731104.06941</v>
      </c>
      <c r="G271" s="105">
        <f t="shared" ref="G271" si="95">G272+G278+G289+G295+G301+G307+G313+G284+G319+G325</f>
        <v>2672734.4701700006</v>
      </c>
      <c r="H271" s="127">
        <f t="shared" si="78"/>
        <v>97.862783776943047</v>
      </c>
    </row>
    <row r="272" spans="1:8" s="100" customFormat="1" ht="24" x14ac:dyDescent="0.2">
      <c r="A272" s="117" t="s">
        <v>268</v>
      </c>
      <c r="B272" s="118" t="s">
        <v>162</v>
      </c>
      <c r="C272" s="118"/>
      <c r="D272" s="118"/>
      <c r="E272" s="118"/>
      <c r="F272" s="119">
        <f>F273</f>
        <v>420230.5687</v>
      </c>
      <c r="G272" s="119">
        <f t="shared" ref="G272:G274" si="96">G273</f>
        <v>389498.07596000005</v>
      </c>
      <c r="H272" s="129">
        <f t="shared" si="78"/>
        <v>92.686754598773675</v>
      </c>
    </row>
    <row r="273" spans="1:8" s="100" customFormat="1" ht="12" x14ac:dyDescent="0.2">
      <c r="A273" s="49" t="s">
        <v>364</v>
      </c>
      <c r="B273" s="22" t="s">
        <v>657</v>
      </c>
      <c r="C273" s="22" t="s">
        <v>476</v>
      </c>
      <c r="D273" s="22"/>
      <c r="E273" s="118"/>
      <c r="F273" s="105">
        <f>F274</f>
        <v>420230.5687</v>
      </c>
      <c r="G273" s="105">
        <f t="shared" si="96"/>
        <v>389498.07596000005</v>
      </c>
      <c r="H273" s="127">
        <f t="shared" si="78"/>
        <v>92.686754598773675</v>
      </c>
    </row>
    <row r="274" spans="1:8" s="100" customFormat="1" ht="14.25" customHeight="1" x14ac:dyDescent="0.2">
      <c r="A274" s="52" t="s">
        <v>365</v>
      </c>
      <c r="B274" s="22" t="s">
        <v>657</v>
      </c>
      <c r="C274" s="22" t="s">
        <v>476</v>
      </c>
      <c r="D274" s="22" t="s">
        <v>76</v>
      </c>
      <c r="E274" s="118"/>
      <c r="F274" s="105">
        <f>F275</f>
        <v>420230.5687</v>
      </c>
      <c r="G274" s="105">
        <f t="shared" si="96"/>
        <v>389498.07596000005</v>
      </c>
      <c r="H274" s="127">
        <f t="shared" si="78"/>
        <v>92.686754598773675</v>
      </c>
    </row>
    <row r="275" spans="1:8" s="100" customFormat="1" ht="12.75" customHeight="1" x14ac:dyDescent="0.2">
      <c r="A275" s="112" t="s">
        <v>104</v>
      </c>
      <c r="B275" s="113" t="s">
        <v>657</v>
      </c>
      <c r="C275" s="113" t="s">
        <v>476</v>
      </c>
      <c r="D275" s="113" t="s">
        <v>76</v>
      </c>
      <c r="E275" s="113" t="s">
        <v>391</v>
      </c>
      <c r="F275" s="114">
        <f>F276+F277</f>
        <v>420230.5687</v>
      </c>
      <c r="G275" s="114">
        <f t="shared" ref="G275" si="97">G276+G277</f>
        <v>389498.07596000005</v>
      </c>
      <c r="H275" s="128">
        <f t="shared" si="78"/>
        <v>92.686754598773675</v>
      </c>
    </row>
    <row r="276" spans="1:8" s="100" customFormat="1" ht="12" x14ac:dyDescent="0.2">
      <c r="A276" s="112" t="s">
        <v>105</v>
      </c>
      <c r="B276" s="113" t="s">
        <v>657</v>
      </c>
      <c r="C276" s="113" t="s">
        <v>476</v>
      </c>
      <c r="D276" s="113" t="s">
        <v>76</v>
      </c>
      <c r="E276" s="113" t="s">
        <v>409</v>
      </c>
      <c r="F276" s="114">
        <f>419610.36041-40844.77859-3680.35+568.6</f>
        <v>375653.83182000002</v>
      </c>
      <c r="G276" s="114">
        <v>347225.93339000002</v>
      </c>
      <c r="H276" s="128">
        <f t="shared" si="78"/>
        <v>92.432421548245614</v>
      </c>
    </row>
    <row r="277" spans="1:8" s="100" customFormat="1" ht="12" x14ac:dyDescent="0.2">
      <c r="A277" s="112" t="s">
        <v>502</v>
      </c>
      <c r="B277" s="113" t="s">
        <v>657</v>
      </c>
      <c r="C277" s="113" t="s">
        <v>476</v>
      </c>
      <c r="D277" s="113" t="s">
        <v>76</v>
      </c>
      <c r="E277" s="113" t="s">
        <v>503</v>
      </c>
      <c r="F277" s="114">
        <f>45145.33688-568.6</f>
        <v>44576.736880000004</v>
      </c>
      <c r="G277" s="114">
        <v>42272.142570000004</v>
      </c>
      <c r="H277" s="128">
        <f t="shared" si="78"/>
        <v>94.830051566573985</v>
      </c>
    </row>
    <row r="278" spans="1:8" s="100" customFormat="1" ht="36" x14ac:dyDescent="0.2">
      <c r="A278" s="117" t="s">
        <v>354</v>
      </c>
      <c r="B278" s="118" t="s">
        <v>163</v>
      </c>
      <c r="C278" s="118"/>
      <c r="D278" s="118"/>
      <c r="E278" s="118"/>
      <c r="F278" s="119">
        <f>F279</f>
        <v>718311.3</v>
      </c>
      <c r="G278" s="119">
        <f t="shared" ref="G278:G280" si="98">G279</f>
        <v>718308.88555000001</v>
      </c>
      <c r="H278" s="129">
        <f t="shared" si="78"/>
        <v>99.999663871360497</v>
      </c>
    </row>
    <row r="279" spans="1:8" s="100" customFormat="1" ht="12" x14ac:dyDescent="0.2">
      <c r="A279" s="49" t="s">
        <v>364</v>
      </c>
      <c r="B279" s="104" t="s">
        <v>163</v>
      </c>
      <c r="C279" s="22" t="s">
        <v>476</v>
      </c>
      <c r="D279" s="22"/>
      <c r="E279" s="118"/>
      <c r="F279" s="105">
        <f>F280</f>
        <v>718311.3</v>
      </c>
      <c r="G279" s="105">
        <f t="shared" si="98"/>
        <v>718308.88555000001</v>
      </c>
      <c r="H279" s="127">
        <f t="shared" si="78"/>
        <v>99.999663871360497</v>
      </c>
    </row>
    <row r="280" spans="1:8" s="100" customFormat="1" ht="12" x14ac:dyDescent="0.2">
      <c r="A280" s="52" t="s">
        <v>365</v>
      </c>
      <c r="B280" s="104" t="s">
        <v>163</v>
      </c>
      <c r="C280" s="22" t="s">
        <v>476</v>
      </c>
      <c r="D280" s="22" t="s">
        <v>76</v>
      </c>
      <c r="E280" s="118"/>
      <c r="F280" s="105">
        <f>F281</f>
        <v>718311.3</v>
      </c>
      <c r="G280" s="105">
        <f t="shared" si="98"/>
        <v>718308.88555000001</v>
      </c>
      <c r="H280" s="127">
        <f t="shared" si="78"/>
        <v>99.999663871360497</v>
      </c>
    </row>
    <row r="281" spans="1:8" s="100" customFormat="1" ht="15" customHeight="1" x14ac:dyDescent="0.2">
      <c r="A281" s="112" t="s">
        <v>104</v>
      </c>
      <c r="B281" s="113" t="s">
        <v>163</v>
      </c>
      <c r="C281" s="113" t="s">
        <v>476</v>
      </c>
      <c r="D281" s="113" t="s">
        <v>76</v>
      </c>
      <c r="E281" s="113" t="s">
        <v>391</v>
      </c>
      <c r="F281" s="114">
        <f>F282+F283</f>
        <v>718311.3</v>
      </c>
      <c r="G281" s="114">
        <f t="shared" ref="G281" si="99">G282+G283</f>
        <v>718308.88555000001</v>
      </c>
      <c r="H281" s="128">
        <f t="shared" si="78"/>
        <v>99.999663871360497</v>
      </c>
    </row>
    <row r="282" spans="1:8" s="100" customFormat="1" ht="12" x14ac:dyDescent="0.2">
      <c r="A282" s="112" t="s">
        <v>105</v>
      </c>
      <c r="B282" s="113" t="s">
        <v>163</v>
      </c>
      <c r="C282" s="113" t="s">
        <v>476</v>
      </c>
      <c r="D282" s="113" t="s">
        <v>76</v>
      </c>
      <c r="E282" s="113" t="s">
        <v>409</v>
      </c>
      <c r="F282" s="114">
        <f>652413.15173-648.83</f>
        <v>651764.32173000008</v>
      </c>
      <c r="G282" s="114">
        <v>651761.92021999997</v>
      </c>
      <c r="H282" s="128">
        <f t="shared" ref="H282:H345" si="100">G282/F282*100</f>
        <v>99.999631537057184</v>
      </c>
    </row>
    <row r="283" spans="1:8" s="100" customFormat="1" ht="12" x14ac:dyDescent="0.2">
      <c r="A283" s="112" t="s">
        <v>502</v>
      </c>
      <c r="B283" s="113" t="s">
        <v>163</v>
      </c>
      <c r="C283" s="113" t="s">
        <v>476</v>
      </c>
      <c r="D283" s="113" t="s">
        <v>76</v>
      </c>
      <c r="E283" s="113" t="s">
        <v>503</v>
      </c>
      <c r="F283" s="114">
        <f>65898.14827+648.83</f>
        <v>66546.978270000007</v>
      </c>
      <c r="G283" s="114">
        <v>66546.965330000006</v>
      </c>
      <c r="H283" s="128">
        <f t="shared" si="100"/>
        <v>99.999980555090048</v>
      </c>
    </row>
    <row r="284" spans="1:8" s="100" customFormat="1" ht="12" x14ac:dyDescent="0.2">
      <c r="A284" s="65" t="s">
        <v>705</v>
      </c>
      <c r="B284" s="22" t="s">
        <v>704</v>
      </c>
      <c r="C284" s="22"/>
      <c r="D284" s="22"/>
      <c r="E284" s="22"/>
      <c r="F284" s="38">
        <f>F285</f>
        <v>1711.5</v>
      </c>
      <c r="G284" s="38">
        <f t="shared" ref="G284:G287" si="101">G285</f>
        <v>1711.5</v>
      </c>
      <c r="H284" s="127">
        <f t="shared" si="100"/>
        <v>100</v>
      </c>
    </row>
    <row r="285" spans="1:8" s="100" customFormat="1" ht="12" x14ac:dyDescent="0.2">
      <c r="A285" s="49" t="s">
        <v>364</v>
      </c>
      <c r="B285" s="22" t="s">
        <v>704</v>
      </c>
      <c r="C285" s="22" t="s">
        <v>476</v>
      </c>
      <c r="D285" s="22"/>
      <c r="E285" s="22"/>
      <c r="F285" s="38">
        <f>F286</f>
        <v>1711.5</v>
      </c>
      <c r="G285" s="38">
        <f t="shared" si="101"/>
        <v>1711.5</v>
      </c>
      <c r="H285" s="127">
        <f t="shared" si="100"/>
        <v>100</v>
      </c>
    </row>
    <row r="286" spans="1:8" s="100" customFormat="1" ht="12" x14ac:dyDescent="0.2">
      <c r="A286" s="52" t="s">
        <v>365</v>
      </c>
      <c r="B286" s="22" t="s">
        <v>704</v>
      </c>
      <c r="C286" s="22" t="s">
        <v>476</v>
      </c>
      <c r="D286" s="22" t="s">
        <v>76</v>
      </c>
      <c r="E286" s="22"/>
      <c r="F286" s="38">
        <f>F287</f>
        <v>1711.5</v>
      </c>
      <c r="G286" s="38">
        <f t="shared" si="101"/>
        <v>1711.5</v>
      </c>
      <c r="H286" s="127">
        <f t="shared" si="100"/>
        <v>100</v>
      </c>
    </row>
    <row r="287" spans="1:8" s="100" customFormat="1" ht="12" x14ac:dyDescent="0.2">
      <c r="A287" s="68" t="s">
        <v>104</v>
      </c>
      <c r="B287" s="29" t="s">
        <v>704</v>
      </c>
      <c r="C287" s="29" t="s">
        <v>476</v>
      </c>
      <c r="D287" s="29" t="s">
        <v>76</v>
      </c>
      <c r="E287" s="29" t="s">
        <v>391</v>
      </c>
      <c r="F287" s="37">
        <f>F288</f>
        <v>1711.5</v>
      </c>
      <c r="G287" s="37">
        <f t="shared" si="101"/>
        <v>1711.5</v>
      </c>
      <c r="H287" s="128">
        <f t="shared" si="100"/>
        <v>100</v>
      </c>
    </row>
    <row r="288" spans="1:8" s="100" customFormat="1" ht="12" x14ac:dyDescent="0.2">
      <c r="A288" s="68" t="s">
        <v>105</v>
      </c>
      <c r="B288" s="29" t="s">
        <v>704</v>
      </c>
      <c r="C288" s="29" t="s">
        <v>476</v>
      </c>
      <c r="D288" s="29" t="s">
        <v>76</v>
      </c>
      <c r="E288" s="29" t="s">
        <v>409</v>
      </c>
      <c r="F288" s="37">
        <v>1711.5</v>
      </c>
      <c r="G288" s="37">
        <v>1711.5</v>
      </c>
      <c r="H288" s="128">
        <f t="shared" si="100"/>
        <v>100</v>
      </c>
    </row>
    <row r="289" spans="1:8" s="100" customFormat="1" ht="15" customHeight="1" x14ac:dyDescent="0.2">
      <c r="A289" s="117" t="s">
        <v>269</v>
      </c>
      <c r="B289" s="118" t="s">
        <v>166</v>
      </c>
      <c r="C289" s="118"/>
      <c r="D289" s="118"/>
      <c r="E289" s="118"/>
      <c r="F289" s="119">
        <f>F290</f>
        <v>258149.42771000002</v>
      </c>
      <c r="G289" s="119">
        <f t="shared" ref="G289:G291" si="102">G290</f>
        <v>245656.76045</v>
      </c>
      <c r="H289" s="129">
        <f t="shared" si="100"/>
        <v>95.160683728482226</v>
      </c>
    </row>
    <row r="290" spans="1:8" s="100" customFormat="1" ht="12" x14ac:dyDescent="0.2">
      <c r="A290" s="49" t="s">
        <v>364</v>
      </c>
      <c r="B290" s="22" t="s">
        <v>658</v>
      </c>
      <c r="C290" s="22" t="s">
        <v>476</v>
      </c>
      <c r="D290" s="22"/>
      <c r="E290" s="118"/>
      <c r="F290" s="105">
        <f>F291</f>
        <v>258149.42771000002</v>
      </c>
      <c r="G290" s="105">
        <f t="shared" si="102"/>
        <v>245656.76045</v>
      </c>
      <c r="H290" s="127">
        <f t="shared" si="100"/>
        <v>95.160683728482226</v>
      </c>
    </row>
    <row r="291" spans="1:8" s="100" customFormat="1" ht="12" x14ac:dyDescent="0.2">
      <c r="A291" s="65" t="s">
        <v>366</v>
      </c>
      <c r="B291" s="22" t="s">
        <v>658</v>
      </c>
      <c r="C291" s="22" t="s">
        <v>476</v>
      </c>
      <c r="D291" s="22" t="s">
        <v>477</v>
      </c>
      <c r="E291" s="118"/>
      <c r="F291" s="105">
        <f>F292</f>
        <v>258149.42771000002</v>
      </c>
      <c r="G291" s="105">
        <f t="shared" si="102"/>
        <v>245656.76045</v>
      </c>
      <c r="H291" s="127">
        <f t="shared" si="100"/>
        <v>95.160683728482226</v>
      </c>
    </row>
    <row r="292" spans="1:8" s="100" customFormat="1" ht="12" x14ac:dyDescent="0.2">
      <c r="A292" s="112" t="s">
        <v>104</v>
      </c>
      <c r="B292" s="113" t="s">
        <v>658</v>
      </c>
      <c r="C292" s="113" t="s">
        <v>476</v>
      </c>
      <c r="D292" s="113" t="s">
        <v>477</v>
      </c>
      <c r="E292" s="113" t="s">
        <v>391</v>
      </c>
      <c r="F292" s="114">
        <f>F293+F294</f>
        <v>258149.42771000002</v>
      </c>
      <c r="G292" s="114">
        <f t="shared" ref="G292" si="103">G293+G294</f>
        <v>245656.76045</v>
      </c>
      <c r="H292" s="128">
        <f t="shared" si="100"/>
        <v>95.160683728482226</v>
      </c>
    </row>
    <row r="293" spans="1:8" s="100" customFormat="1" ht="12" x14ac:dyDescent="0.2">
      <c r="A293" s="112" t="s">
        <v>105</v>
      </c>
      <c r="B293" s="113" t="s">
        <v>658</v>
      </c>
      <c r="C293" s="113" t="s">
        <v>476</v>
      </c>
      <c r="D293" s="113" t="s">
        <v>477</v>
      </c>
      <c r="E293" s="113" t="s">
        <v>409</v>
      </c>
      <c r="F293" s="114">
        <v>249681.2329</v>
      </c>
      <c r="G293" s="114">
        <v>238054.27335</v>
      </c>
      <c r="H293" s="128">
        <f t="shared" si="100"/>
        <v>95.343278541620819</v>
      </c>
    </row>
    <row r="294" spans="1:8" s="100" customFormat="1" ht="12" x14ac:dyDescent="0.2">
      <c r="A294" s="112" t="s">
        <v>502</v>
      </c>
      <c r="B294" s="113" t="s">
        <v>658</v>
      </c>
      <c r="C294" s="113" t="s">
        <v>476</v>
      </c>
      <c r="D294" s="113" t="s">
        <v>477</v>
      </c>
      <c r="E294" s="113" t="s">
        <v>503</v>
      </c>
      <c r="F294" s="114">
        <v>8468.1948100000009</v>
      </c>
      <c r="G294" s="114">
        <v>7602.4871000000003</v>
      </c>
      <c r="H294" s="128">
        <f t="shared" si="100"/>
        <v>89.776950939086859</v>
      </c>
    </row>
    <row r="295" spans="1:8" s="100" customFormat="1" ht="48" x14ac:dyDescent="0.2">
      <c r="A295" s="133" t="s">
        <v>355</v>
      </c>
      <c r="B295" s="118" t="s">
        <v>270</v>
      </c>
      <c r="C295" s="118"/>
      <c r="D295" s="118"/>
      <c r="E295" s="118"/>
      <c r="F295" s="119">
        <f>F296</f>
        <v>1039429.58</v>
      </c>
      <c r="G295" s="119">
        <f t="shared" ref="G295:G297" si="104">G296</f>
        <v>1039401.33909</v>
      </c>
      <c r="H295" s="129">
        <f t="shared" si="100"/>
        <v>99.997283037683033</v>
      </c>
    </row>
    <row r="296" spans="1:8" s="100" customFormat="1" ht="12" x14ac:dyDescent="0.2">
      <c r="A296" s="49" t="s">
        <v>364</v>
      </c>
      <c r="B296" s="104" t="s">
        <v>270</v>
      </c>
      <c r="C296" s="22" t="s">
        <v>476</v>
      </c>
      <c r="D296" s="22"/>
      <c r="E296" s="118"/>
      <c r="F296" s="105">
        <f>F297</f>
        <v>1039429.58</v>
      </c>
      <c r="G296" s="105">
        <f t="shared" si="104"/>
        <v>1039401.33909</v>
      </c>
      <c r="H296" s="127">
        <f t="shared" si="100"/>
        <v>99.997283037683033</v>
      </c>
    </row>
    <row r="297" spans="1:8" s="100" customFormat="1" ht="12" x14ac:dyDescent="0.2">
      <c r="A297" s="65" t="s">
        <v>366</v>
      </c>
      <c r="B297" s="104" t="s">
        <v>270</v>
      </c>
      <c r="C297" s="22" t="s">
        <v>476</v>
      </c>
      <c r="D297" s="22" t="s">
        <v>477</v>
      </c>
      <c r="E297" s="118"/>
      <c r="F297" s="105">
        <f>F298</f>
        <v>1039429.58</v>
      </c>
      <c r="G297" s="105">
        <f t="shared" si="104"/>
        <v>1039401.33909</v>
      </c>
      <c r="H297" s="127">
        <f t="shared" si="100"/>
        <v>99.997283037683033</v>
      </c>
    </row>
    <row r="298" spans="1:8" s="100" customFormat="1" ht="13.5" customHeight="1" x14ac:dyDescent="0.2">
      <c r="A298" s="112" t="s">
        <v>104</v>
      </c>
      <c r="B298" s="113" t="s">
        <v>270</v>
      </c>
      <c r="C298" s="113" t="s">
        <v>476</v>
      </c>
      <c r="D298" s="113" t="s">
        <v>477</v>
      </c>
      <c r="E298" s="113" t="s">
        <v>391</v>
      </c>
      <c r="F298" s="114">
        <f>F299+F300</f>
        <v>1039429.58</v>
      </c>
      <c r="G298" s="114">
        <f t="shared" ref="G298" si="105">G299+G300</f>
        <v>1039401.33909</v>
      </c>
      <c r="H298" s="128">
        <f t="shared" si="100"/>
        <v>99.997283037683033</v>
      </c>
    </row>
    <row r="299" spans="1:8" s="100" customFormat="1" ht="15" customHeight="1" x14ac:dyDescent="0.2">
      <c r="A299" s="112" t="s">
        <v>105</v>
      </c>
      <c r="B299" s="113" t="s">
        <v>270</v>
      </c>
      <c r="C299" s="113" t="s">
        <v>476</v>
      </c>
      <c r="D299" s="113" t="s">
        <v>477</v>
      </c>
      <c r="E299" s="113" t="s">
        <v>409</v>
      </c>
      <c r="F299" s="114">
        <f>962116.50128+34794.4</f>
        <v>996910.90127999999</v>
      </c>
      <c r="G299" s="114">
        <v>996882.66037000006</v>
      </c>
      <c r="H299" s="128">
        <f t="shared" si="100"/>
        <v>99.997167158071633</v>
      </c>
    </row>
    <row r="300" spans="1:8" s="100" customFormat="1" ht="15" customHeight="1" x14ac:dyDescent="0.2">
      <c r="A300" s="112" t="s">
        <v>502</v>
      </c>
      <c r="B300" s="113" t="s">
        <v>270</v>
      </c>
      <c r="C300" s="113" t="s">
        <v>476</v>
      </c>
      <c r="D300" s="113" t="s">
        <v>477</v>
      </c>
      <c r="E300" s="113" t="s">
        <v>503</v>
      </c>
      <c r="F300" s="114">
        <f>41030.37872+1488.3</f>
        <v>42518.678720000004</v>
      </c>
      <c r="G300" s="114">
        <v>42518.678720000004</v>
      </c>
      <c r="H300" s="128">
        <f t="shared" si="100"/>
        <v>100</v>
      </c>
    </row>
    <row r="301" spans="1:8" s="100" customFormat="1" ht="15" customHeight="1" x14ac:dyDescent="0.2">
      <c r="A301" s="117" t="s">
        <v>272</v>
      </c>
      <c r="B301" s="118" t="s">
        <v>167</v>
      </c>
      <c r="C301" s="118"/>
      <c r="D301" s="118"/>
      <c r="E301" s="118"/>
      <c r="F301" s="119">
        <f>F302</f>
        <v>101291.375</v>
      </c>
      <c r="G301" s="119">
        <f t="shared" ref="G301:G303" si="106">G302</f>
        <v>99633.532989999992</v>
      </c>
      <c r="H301" s="129">
        <f t="shared" si="100"/>
        <v>98.363294002080622</v>
      </c>
    </row>
    <row r="302" spans="1:8" s="100" customFormat="1" ht="15" customHeight="1" x14ac:dyDescent="0.2">
      <c r="A302" s="49" t="s">
        <v>364</v>
      </c>
      <c r="B302" s="104" t="s">
        <v>167</v>
      </c>
      <c r="C302" s="104" t="s">
        <v>476</v>
      </c>
      <c r="D302" s="104"/>
      <c r="E302" s="104"/>
      <c r="F302" s="105">
        <f>F303</f>
        <v>101291.375</v>
      </c>
      <c r="G302" s="105">
        <f t="shared" si="106"/>
        <v>99633.532989999992</v>
      </c>
      <c r="H302" s="127">
        <f t="shared" si="100"/>
        <v>98.363294002080622</v>
      </c>
    </row>
    <row r="303" spans="1:8" s="100" customFormat="1" ht="15" customHeight="1" x14ac:dyDescent="0.2">
      <c r="A303" s="65" t="s">
        <v>271</v>
      </c>
      <c r="B303" s="104" t="s">
        <v>167</v>
      </c>
      <c r="C303" s="104" t="s">
        <v>476</v>
      </c>
      <c r="D303" s="104" t="s">
        <v>469</v>
      </c>
      <c r="E303" s="104"/>
      <c r="F303" s="105">
        <f>F304</f>
        <v>101291.375</v>
      </c>
      <c r="G303" s="105">
        <f t="shared" si="106"/>
        <v>99633.532989999992</v>
      </c>
      <c r="H303" s="127">
        <f t="shared" si="100"/>
        <v>98.363294002080622</v>
      </c>
    </row>
    <row r="304" spans="1:8" s="100" customFormat="1" ht="15" customHeight="1" x14ac:dyDescent="0.2">
      <c r="A304" s="112" t="s">
        <v>104</v>
      </c>
      <c r="B304" s="113" t="s">
        <v>659</v>
      </c>
      <c r="C304" s="113" t="s">
        <v>476</v>
      </c>
      <c r="D304" s="113" t="s">
        <v>469</v>
      </c>
      <c r="E304" s="113" t="s">
        <v>391</v>
      </c>
      <c r="F304" s="114">
        <f>F305+F306</f>
        <v>101291.375</v>
      </c>
      <c r="G304" s="114">
        <f t="shared" ref="G304" si="107">G305+G306</f>
        <v>99633.532989999992</v>
      </c>
      <c r="H304" s="128">
        <f t="shared" si="100"/>
        <v>98.363294002080622</v>
      </c>
    </row>
    <row r="305" spans="1:8" s="100" customFormat="1" ht="15" customHeight="1" x14ac:dyDescent="0.2">
      <c r="A305" s="112" t="s">
        <v>105</v>
      </c>
      <c r="B305" s="113" t="s">
        <v>659</v>
      </c>
      <c r="C305" s="113" t="s">
        <v>476</v>
      </c>
      <c r="D305" s="113" t="s">
        <v>469</v>
      </c>
      <c r="E305" s="113" t="s">
        <v>409</v>
      </c>
      <c r="F305" s="114">
        <v>3011.7314500000002</v>
      </c>
      <c r="G305" s="114">
        <v>2658.54405</v>
      </c>
      <c r="H305" s="128">
        <f t="shared" si="100"/>
        <v>88.272945119326621</v>
      </c>
    </row>
    <row r="306" spans="1:8" s="100" customFormat="1" ht="15" customHeight="1" x14ac:dyDescent="0.2">
      <c r="A306" s="112" t="s">
        <v>502</v>
      </c>
      <c r="B306" s="113" t="s">
        <v>659</v>
      </c>
      <c r="C306" s="113" t="s">
        <v>476</v>
      </c>
      <c r="D306" s="113" t="s">
        <v>469</v>
      </c>
      <c r="E306" s="113" t="s">
        <v>503</v>
      </c>
      <c r="F306" s="114">
        <v>98279.643549999993</v>
      </c>
      <c r="G306" s="114">
        <v>96974.988939999996</v>
      </c>
      <c r="H306" s="128">
        <f t="shared" si="100"/>
        <v>98.672507792179516</v>
      </c>
    </row>
    <row r="307" spans="1:8" s="100" customFormat="1" ht="15" customHeight="1" x14ac:dyDescent="0.2">
      <c r="A307" s="117" t="s">
        <v>274</v>
      </c>
      <c r="B307" s="118" t="s">
        <v>273</v>
      </c>
      <c r="C307" s="118"/>
      <c r="D307" s="118"/>
      <c r="E307" s="118"/>
      <c r="F307" s="119">
        <f>F308</f>
        <v>23779.200000000001</v>
      </c>
      <c r="G307" s="119">
        <f t="shared" ref="G307:G309" si="108">G308</f>
        <v>21847.220539999998</v>
      </c>
      <c r="H307" s="129">
        <f t="shared" si="100"/>
        <v>91.875338699367504</v>
      </c>
    </row>
    <row r="308" spans="1:8" s="100" customFormat="1" ht="15" customHeight="1" x14ac:dyDescent="0.2">
      <c r="A308" s="49" t="s">
        <v>364</v>
      </c>
      <c r="B308" s="104" t="s">
        <v>660</v>
      </c>
      <c r="C308" s="104" t="s">
        <v>476</v>
      </c>
      <c r="D308" s="104"/>
      <c r="E308" s="104"/>
      <c r="F308" s="105">
        <f>F309</f>
        <v>23779.200000000001</v>
      </c>
      <c r="G308" s="105">
        <f t="shared" si="108"/>
        <v>21847.220539999998</v>
      </c>
      <c r="H308" s="127">
        <f t="shared" si="100"/>
        <v>91.875338699367504</v>
      </c>
    </row>
    <row r="309" spans="1:8" s="100" customFormat="1" ht="15" customHeight="1" x14ac:dyDescent="0.2">
      <c r="A309" s="65" t="s">
        <v>368</v>
      </c>
      <c r="B309" s="104" t="s">
        <v>660</v>
      </c>
      <c r="C309" s="104" t="s">
        <v>476</v>
      </c>
      <c r="D309" s="104" t="s">
        <v>470</v>
      </c>
      <c r="E309" s="104"/>
      <c r="F309" s="105">
        <f>F310</f>
        <v>23779.200000000001</v>
      </c>
      <c r="G309" s="105">
        <f t="shared" si="108"/>
        <v>21847.220539999998</v>
      </c>
      <c r="H309" s="127">
        <f t="shared" si="100"/>
        <v>91.875338699367504</v>
      </c>
    </row>
    <row r="310" spans="1:8" s="100" customFormat="1" ht="15" customHeight="1" x14ac:dyDescent="0.2">
      <c r="A310" s="112" t="s">
        <v>104</v>
      </c>
      <c r="B310" s="113" t="s">
        <v>660</v>
      </c>
      <c r="C310" s="113" t="s">
        <v>476</v>
      </c>
      <c r="D310" s="113" t="s">
        <v>470</v>
      </c>
      <c r="E310" s="113" t="s">
        <v>391</v>
      </c>
      <c r="F310" s="114">
        <f>F311+F312</f>
        <v>23779.200000000001</v>
      </c>
      <c r="G310" s="114">
        <f t="shared" ref="G310" si="109">G311+G312</f>
        <v>21847.220539999998</v>
      </c>
      <c r="H310" s="128">
        <f t="shared" si="100"/>
        <v>91.875338699367504</v>
      </c>
    </row>
    <row r="311" spans="1:8" s="100" customFormat="1" ht="15" customHeight="1" x14ac:dyDescent="0.2">
      <c r="A311" s="112" t="s">
        <v>105</v>
      </c>
      <c r="B311" s="113" t="s">
        <v>660</v>
      </c>
      <c r="C311" s="113" t="s">
        <v>476</v>
      </c>
      <c r="D311" s="113" t="s">
        <v>470</v>
      </c>
      <c r="E311" s="113" t="s">
        <v>409</v>
      </c>
      <c r="F311" s="114">
        <f>9279.2-1000+14200-493.099</f>
        <v>21986.101000000002</v>
      </c>
      <c r="G311" s="114">
        <v>20054.13754</v>
      </c>
      <c r="H311" s="128">
        <f t="shared" si="100"/>
        <v>91.212796393503325</v>
      </c>
    </row>
    <row r="312" spans="1:8" s="100" customFormat="1" ht="15" customHeight="1" x14ac:dyDescent="0.2">
      <c r="A312" s="112" t="s">
        <v>502</v>
      </c>
      <c r="B312" s="113" t="s">
        <v>660</v>
      </c>
      <c r="C312" s="113" t="s">
        <v>476</v>
      </c>
      <c r="D312" s="113" t="s">
        <v>470</v>
      </c>
      <c r="E312" s="113" t="s">
        <v>503</v>
      </c>
      <c r="F312" s="114">
        <f>1000+300+493.099</f>
        <v>1793.0989999999999</v>
      </c>
      <c r="G312" s="114">
        <v>1793.0830000000001</v>
      </c>
      <c r="H312" s="128">
        <f t="shared" si="100"/>
        <v>99.999107690094093</v>
      </c>
    </row>
    <row r="313" spans="1:8" s="100" customFormat="1" ht="15" customHeight="1" x14ac:dyDescent="0.2">
      <c r="A313" s="117" t="s">
        <v>281</v>
      </c>
      <c r="B313" s="118" t="s">
        <v>275</v>
      </c>
      <c r="C313" s="132"/>
      <c r="D313" s="132"/>
      <c r="E313" s="118"/>
      <c r="F313" s="119">
        <f>F314</f>
        <v>77172</v>
      </c>
      <c r="G313" s="119">
        <f t="shared" ref="G313:G315" si="110">G314</f>
        <v>72623.956590000002</v>
      </c>
      <c r="H313" s="129">
        <f t="shared" si="100"/>
        <v>94.106614562276476</v>
      </c>
    </row>
    <row r="314" spans="1:8" s="100" customFormat="1" ht="13.5" customHeight="1" x14ac:dyDescent="0.2">
      <c r="A314" s="49" t="s">
        <v>364</v>
      </c>
      <c r="B314" s="104" t="s">
        <v>661</v>
      </c>
      <c r="C314" s="104" t="s">
        <v>476</v>
      </c>
      <c r="D314" s="104"/>
      <c r="E314" s="104"/>
      <c r="F314" s="105">
        <f>F315</f>
        <v>77172</v>
      </c>
      <c r="G314" s="105">
        <f t="shared" si="110"/>
        <v>72623.956590000002</v>
      </c>
      <c r="H314" s="127">
        <f t="shared" si="100"/>
        <v>94.106614562276476</v>
      </c>
    </row>
    <row r="315" spans="1:8" s="100" customFormat="1" ht="15" customHeight="1" x14ac:dyDescent="0.2">
      <c r="A315" s="65" t="s">
        <v>368</v>
      </c>
      <c r="B315" s="104" t="s">
        <v>661</v>
      </c>
      <c r="C315" s="104" t="s">
        <v>476</v>
      </c>
      <c r="D315" s="104" t="s">
        <v>470</v>
      </c>
      <c r="E315" s="104"/>
      <c r="F315" s="105">
        <f>F316</f>
        <v>77172</v>
      </c>
      <c r="G315" s="105">
        <f t="shared" si="110"/>
        <v>72623.956590000002</v>
      </c>
      <c r="H315" s="127">
        <f t="shared" si="100"/>
        <v>94.106614562276476</v>
      </c>
    </row>
    <row r="316" spans="1:8" s="100" customFormat="1" ht="12" x14ac:dyDescent="0.2">
      <c r="A316" s="112" t="s">
        <v>104</v>
      </c>
      <c r="B316" s="113" t="s">
        <v>661</v>
      </c>
      <c r="C316" s="113" t="s">
        <v>476</v>
      </c>
      <c r="D316" s="113" t="s">
        <v>470</v>
      </c>
      <c r="E316" s="113" t="s">
        <v>391</v>
      </c>
      <c r="F316" s="114">
        <f>F317+F318</f>
        <v>77172</v>
      </c>
      <c r="G316" s="114">
        <f t="shared" ref="G316" si="111">G317+G318</f>
        <v>72623.956590000002</v>
      </c>
      <c r="H316" s="128">
        <f t="shared" si="100"/>
        <v>94.106614562276476</v>
      </c>
    </row>
    <row r="317" spans="1:8" s="100" customFormat="1" ht="12" x14ac:dyDescent="0.2">
      <c r="A317" s="112" t="s">
        <v>105</v>
      </c>
      <c r="B317" s="113" t="s">
        <v>661</v>
      </c>
      <c r="C317" s="113" t="s">
        <v>476</v>
      </c>
      <c r="D317" s="113" t="s">
        <v>470</v>
      </c>
      <c r="E317" s="113" t="s">
        <v>409</v>
      </c>
      <c r="F317" s="114">
        <f>68670+1241+421.652+117.75</f>
        <v>70450.402000000002</v>
      </c>
      <c r="G317" s="114">
        <v>66784.584950000004</v>
      </c>
      <c r="H317" s="128">
        <f t="shared" si="100"/>
        <v>94.796598818556063</v>
      </c>
    </row>
    <row r="318" spans="1:8" s="100" customFormat="1" ht="12" x14ac:dyDescent="0.2">
      <c r="A318" s="112" t="s">
        <v>502</v>
      </c>
      <c r="B318" s="113" t="s">
        <v>661</v>
      </c>
      <c r="C318" s="113" t="s">
        <v>476</v>
      </c>
      <c r="D318" s="113" t="s">
        <v>470</v>
      </c>
      <c r="E318" s="113" t="s">
        <v>503</v>
      </c>
      <c r="F318" s="114">
        <f>8502-1241-421.652-117.75</f>
        <v>6721.598</v>
      </c>
      <c r="G318" s="114">
        <v>5839.3716400000003</v>
      </c>
      <c r="H318" s="128">
        <f t="shared" si="100"/>
        <v>86.874752700176359</v>
      </c>
    </row>
    <row r="319" spans="1:8" s="100" customFormat="1" ht="24" x14ac:dyDescent="0.2">
      <c r="A319" s="117" t="s">
        <v>750</v>
      </c>
      <c r="B319" s="118" t="s">
        <v>751</v>
      </c>
      <c r="C319" s="118"/>
      <c r="D319" s="118"/>
      <c r="E319" s="118"/>
      <c r="F319" s="119">
        <f>F320</f>
        <v>32810.400000000001</v>
      </c>
      <c r="G319" s="119">
        <f t="shared" ref="G319:G321" si="112">G320</f>
        <v>30993.929</v>
      </c>
      <c r="H319" s="129">
        <f t="shared" si="100"/>
        <v>94.463734059932207</v>
      </c>
    </row>
    <row r="320" spans="1:8" s="100" customFormat="1" ht="12" x14ac:dyDescent="0.2">
      <c r="A320" s="49" t="s">
        <v>364</v>
      </c>
      <c r="B320" s="104" t="s">
        <v>751</v>
      </c>
      <c r="C320" s="22" t="s">
        <v>476</v>
      </c>
      <c r="D320" s="22"/>
      <c r="E320" s="118"/>
      <c r="F320" s="105">
        <f>F321</f>
        <v>32810.400000000001</v>
      </c>
      <c r="G320" s="105">
        <f t="shared" si="112"/>
        <v>30993.929</v>
      </c>
      <c r="H320" s="127">
        <f t="shared" si="100"/>
        <v>94.463734059932207</v>
      </c>
    </row>
    <row r="321" spans="1:8" s="100" customFormat="1" ht="12" x14ac:dyDescent="0.2">
      <c r="A321" s="65" t="s">
        <v>366</v>
      </c>
      <c r="B321" s="104" t="s">
        <v>751</v>
      </c>
      <c r="C321" s="22" t="s">
        <v>476</v>
      </c>
      <c r="D321" s="22" t="s">
        <v>477</v>
      </c>
      <c r="E321" s="118"/>
      <c r="F321" s="105">
        <f>F322</f>
        <v>32810.400000000001</v>
      </c>
      <c r="G321" s="105">
        <f t="shared" si="112"/>
        <v>30993.929</v>
      </c>
      <c r="H321" s="127">
        <f t="shared" si="100"/>
        <v>94.463734059932207</v>
      </c>
    </row>
    <row r="322" spans="1:8" s="100" customFormat="1" ht="12" x14ac:dyDescent="0.2">
      <c r="A322" s="112" t="s">
        <v>104</v>
      </c>
      <c r="B322" s="113" t="s">
        <v>751</v>
      </c>
      <c r="C322" s="113" t="s">
        <v>476</v>
      </c>
      <c r="D322" s="113" t="s">
        <v>477</v>
      </c>
      <c r="E322" s="113" t="s">
        <v>391</v>
      </c>
      <c r="F322" s="114">
        <f>F323+F324</f>
        <v>32810.400000000001</v>
      </c>
      <c r="G322" s="114">
        <f t="shared" ref="G322" si="113">G323+G324</f>
        <v>30993.929</v>
      </c>
      <c r="H322" s="128">
        <f t="shared" si="100"/>
        <v>94.463734059932207</v>
      </c>
    </row>
    <row r="323" spans="1:8" s="100" customFormat="1" ht="12" x14ac:dyDescent="0.2">
      <c r="A323" s="112" t="s">
        <v>105</v>
      </c>
      <c r="B323" s="113" t="s">
        <v>751</v>
      </c>
      <c r="C323" s="113" t="s">
        <v>476</v>
      </c>
      <c r="D323" s="113" t="s">
        <v>477</v>
      </c>
      <c r="E323" s="113" t="s">
        <v>409</v>
      </c>
      <c r="F323" s="114">
        <v>31560.48</v>
      </c>
      <c r="G323" s="114">
        <v>29798.072</v>
      </c>
      <c r="H323" s="128">
        <f t="shared" si="100"/>
        <v>94.415775678950382</v>
      </c>
    </row>
    <row r="324" spans="1:8" s="100" customFormat="1" ht="12" x14ac:dyDescent="0.2">
      <c r="A324" s="112" t="s">
        <v>502</v>
      </c>
      <c r="B324" s="113" t="s">
        <v>751</v>
      </c>
      <c r="C324" s="113" t="s">
        <v>476</v>
      </c>
      <c r="D324" s="113" t="s">
        <v>477</v>
      </c>
      <c r="E324" s="113" t="s">
        <v>503</v>
      </c>
      <c r="F324" s="114">
        <v>1249.92</v>
      </c>
      <c r="G324" s="114">
        <v>1195.857</v>
      </c>
      <c r="H324" s="128">
        <f t="shared" si="100"/>
        <v>95.674683179723502</v>
      </c>
    </row>
    <row r="325" spans="1:8" s="100" customFormat="1" ht="24" x14ac:dyDescent="0.2">
      <c r="A325" s="117" t="s">
        <v>752</v>
      </c>
      <c r="B325" s="118" t="s">
        <v>753</v>
      </c>
      <c r="C325" s="118"/>
      <c r="D325" s="118"/>
      <c r="E325" s="118"/>
      <c r="F325" s="119">
        <f>F326</f>
        <v>58218.718000000008</v>
      </c>
      <c r="G325" s="119">
        <f t="shared" ref="G325:G327" si="114">G326</f>
        <v>53059.27</v>
      </c>
      <c r="H325" s="129">
        <f t="shared" si="100"/>
        <v>91.137819283481974</v>
      </c>
    </row>
    <row r="326" spans="1:8" s="100" customFormat="1" ht="12" x14ac:dyDescent="0.2">
      <c r="A326" s="49" t="s">
        <v>364</v>
      </c>
      <c r="B326" s="104" t="s">
        <v>753</v>
      </c>
      <c r="C326" s="22" t="s">
        <v>476</v>
      </c>
      <c r="D326" s="22"/>
      <c r="E326" s="118"/>
      <c r="F326" s="105">
        <f>F327</f>
        <v>58218.718000000008</v>
      </c>
      <c r="G326" s="105">
        <f t="shared" si="114"/>
        <v>53059.27</v>
      </c>
      <c r="H326" s="127">
        <f t="shared" si="100"/>
        <v>91.137819283481974</v>
      </c>
    </row>
    <row r="327" spans="1:8" s="100" customFormat="1" ht="12" x14ac:dyDescent="0.2">
      <c r="A327" s="65" t="s">
        <v>366</v>
      </c>
      <c r="B327" s="104" t="s">
        <v>753</v>
      </c>
      <c r="C327" s="22" t="s">
        <v>476</v>
      </c>
      <c r="D327" s="22" t="s">
        <v>477</v>
      </c>
      <c r="E327" s="118"/>
      <c r="F327" s="105">
        <f>F328</f>
        <v>58218.718000000008</v>
      </c>
      <c r="G327" s="105">
        <f t="shared" si="114"/>
        <v>53059.27</v>
      </c>
      <c r="H327" s="127">
        <f t="shared" si="100"/>
        <v>91.137819283481974</v>
      </c>
    </row>
    <row r="328" spans="1:8" s="100" customFormat="1" ht="12" x14ac:dyDescent="0.2">
      <c r="A328" s="112" t="s">
        <v>104</v>
      </c>
      <c r="B328" s="113" t="s">
        <v>753</v>
      </c>
      <c r="C328" s="113" t="s">
        <v>476</v>
      </c>
      <c r="D328" s="113" t="s">
        <v>477</v>
      </c>
      <c r="E328" s="113" t="s">
        <v>391</v>
      </c>
      <c r="F328" s="114">
        <f>F329+F330</f>
        <v>58218.718000000008</v>
      </c>
      <c r="G328" s="114">
        <f t="shared" ref="G328" si="115">G329+G330</f>
        <v>53059.27</v>
      </c>
      <c r="H328" s="128">
        <f t="shared" si="100"/>
        <v>91.137819283481974</v>
      </c>
    </row>
    <row r="329" spans="1:8" s="100" customFormat="1" ht="12" x14ac:dyDescent="0.2">
      <c r="A329" s="112" t="s">
        <v>105</v>
      </c>
      <c r="B329" s="113" t="s">
        <v>753</v>
      </c>
      <c r="C329" s="113" t="s">
        <v>476</v>
      </c>
      <c r="D329" s="113" t="s">
        <v>477</v>
      </c>
      <c r="E329" s="113" t="s">
        <v>409</v>
      </c>
      <c r="F329" s="114">
        <f>67563.95268-11814.17868</f>
        <v>55749.774000000005</v>
      </c>
      <c r="G329" s="114">
        <v>50698.205999999998</v>
      </c>
      <c r="H329" s="128">
        <f t="shared" si="100"/>
        <v>90.938854747644342</v>
      </c>
    </row>
    <row r="330" spans="1:8" s="100" customFormat="1" ht="12" x14ac:dyDescent="0.2">
      <c r="A330" s="112" t="s">
        <v>502</v>
      </c>
      <c r="B330" s="113" t="s">
        <v>753</v>
      </c>
      <c r="C330" s="113" t="s">
        <v>476</v>
      </c>
      <c r="D330" s="113" t="s">
        <v>477</v>
      </c>
      <c r="E330" s="113" t="s">
        <v>503</v>
      </c>
      <c r="F330" s="114">
        <f>3669.891-1200.947</f>
        <v>2468.9440000000004</v>
      </c>
      <c r="G330" s="114">
        <v>2361.0639999999999</v>
      </c>
      <c r="H330" s="128">
        <f t="shared" si="100"/>
        <v>95.630520578838542</v>
      </c>
    </row>
    <row r="331" spans="1:8" s="100" customFormat="1" ht="12" x14ac:dyDescent="0.2">
      <c r="A331" s="103" t="s">
        <v>444</v>
      </c>
      <c r="B331" s="104" t="s">
        <v>168</v>
      </c>
      <c r="C331" s="104"/>
      <c r="D331" s="104"/>
      <c r="E331" s="104"/>
      <c r="F331" s="105">
        <f>F332+F342+F347</f>
        <v>6170</v>
      </c>
      <c r="G331" s="105">
        <f t="shared" ref="G331" si="116">G332+G342+G347</f>
        <v>5017.079020000001</v>
      </c>
      <c r="H331" s="127">
        <f t="shared" si="100"/>
        <v>81.314084602917362</v>
      </c>
    </row>
    <row r="332" spans="1:8" s="100" customFormat="1" ht="24" x14ac:dyDescent="0.2">
      <c r="A332" s="121" t="s">
        <v>171</v>
      </c>
      <c r="B332" s="118" t="s">
        <v>138</v>
      </c>
      <c r="C332" s="118"/>
      <c r="D332" s="118"/>
      <c r="E332" s="118"/>
      <c r="F332" s="119">
        <f>F333</f>
        <v>4085</v>
      </c>
      <c r="G332" s="119">
        <f t="shared" ref="G332:G334" si="117">G333</f>
        <v>4072.1840200000001</v>
      </c>
      <c r="H332" s="129">
        <f t="shared" si="100"/>
        <v>99.68626731946145</v>
      </c>
    </row>
    <row r="333" spans="1:8" s="100" customFormat="1" ht="12" x14ac:dyDescent="0.2">
      <c r="A333" s="49" t="s">
        <v>364</v>
      </c>
      <c r="B333" s="104" t="s">
        <v>663</v>
      </c>
      <c r="C333" s="104" t="s">
        <v>476</v>
      </c>
      <c r="D333" s="104"/>
      <c r="E333" s="118"/>
      <c r="F333" s="105">
        <f>F334</f>
        <v>4085</v>
      </c>
      <c r="G333" s="105">
        <f t="shared" si="117"/>
        <v>4072.1840200000001</v>
      </c>
      <c r="H333" s="127">
        <f t="shared" si="100"/>
        <v>99.68626731946145</v>
      </c>
    </row>
    <row r="334" spans="1:8" s="100" customFormat="1" ht="12" x14ac:dyDescent="0.2">
      <c r="A334" s="65" t="s">
        <v>368</v>
      </c>
      <c r="B334" s="104" t="s">
        <v>663</v>
      </c>
      <c r="C334" s="104" t="s">
        <v>476</v>
      </c>
      <c r="D334" s="104" t="s">
        <v>470</v>
      </c>
      <c r="E334" s="118"/>
      <c r="F334" s="105">
        <f>F335</f>
        <v>4085</v>
      </c>
      <c r="G334" s="105">
        <f t="shared" si="117"/>
        <v>4072.1840200000001</v>
      </c>
      <c r="H334" s="127">
        <f t="shared" si="100"/>
        <v>99.68626731946145</v>
      </c>
    </row>
    <row r="335" spans="1:8" s="100" customFormat="1" ht="12" x14ac:dyDescent="0.2">
      <c r="A335" s="136" t="s">
        <v>471</v>
      </c>
      <c r="B335" s="132" t="s">
        <v>663</v>
      </c>
      <c r="C335" s="132" t="s">
        <v>476</v>
      </c>
      <c r="D335" s="132" t="s">
        <v>470</v>
      </c>
      <c r="E335" s="132"/>
      <c r="F335" s="137">
        <f>F336+F338+F340</f>
        <v>4085</v>
      </c>
      <c r="G335" s="137">
        <f t="shared" ref="G335" si="118">G336+G338+G340</f>
        <v>4072.1840200000001</v>
      </c>
      <c r="H335" s="204">
        <f t="shared" si="100"/>
        <v>99.68626731946145</v>
      </c>
    </row>
    <row r="336" spans="1:8" s="100" customFormat="1" ht="36" x14ac:dyDescent="0.2">
      <c r="A336" s="112" t="s">
        <v>79</v>
      </c>
      <c r="B336" s="113" t="s">
        <v>663</v>
      </c>
      <c r="C336" s="113" t="s">
        <v>476</v>
      </c>
      <c r="D336" s="113" t="s">
        <v>470</v>
      </c>
      <c r="E336" s="113" t="s">
        <v>80</v>
      </c>
      <c r="F336" s="114">
        <f>F337</f>
        <v>3962.35</v>
      </c>
      <c r="G336" s="114">
        <f t="shared" ref="G336" si="119">G337</f>
        <v>3962.35</v>
      </c>
      <c r="H336" s="128">
        <f t="shared" si="100"/>
        <v>100</v>
      </c>
    </row>
    <row r="337" spans="1:8" s="100" customFormat="1" ht="12" x14ac:dyDescent="0.2">
      <c r="A337" s="112" t="s">
        <v>472</v>
      </c>
      <c r="B337" s="113" t="s">
        <v>663</v>
      </c>
      <c r="C337" s="113" t="s">
        <v>476</v>
      </c>
      <c r="D337" s="113" t="s">
        <v>470</v>
      </c>
      <c r="E337" s="113" t="s">
        <v>473</v>
      </c>
      <c r="F337" s="114">
        <f>2920+880+162.35</f>
        <v>3962.35</v>
      </c>
      <c r="G337" s="114">
        <v>3962.35</v>
      </c>
      <c r="H337" s="128">
        <f t="shared" si="100"/>
        <v>100</v>
      </c>
    </row>
    <row r="338" spans="1:8" s="100" customFormat="1" ht="12" x14ac:dyDescent="0.2">
      <c r="A338" s="112" t="s">
        <v>294</v>
      </c>
      <c r="B338" s="113" t="s">
        <v>663</v>
      </c>
      <c r="C338" s="113" t="s">
        <v>476</v>
      </c>
      <c r="D338" s="113" t="s">
        <v>470</v>
      </c>
      <c r="E338" s="113" t="s">
        <v>84</v>
      </c>
      <c r="F338" s="114">
        <f>F339</f>
        <v>117.65</v>
      </c>
      <c r="G338" s="114">
        <f t="shared" ref="G338" si="120">G339</f>
        <v>109.83320000000001</v>
      </c>
      <c r="H338" s="128">
        <f t="shared" si="100"/>
        <v>93.355886102847435</v>
      </c>
    </row>
    <row r="339" spans="1:8" s="100" customFormat="1" ht="12" x14ac:dyDescent="0.2">
      <c r="A339" s="112" t="s">
        <v>85</v>
      </c>
      <c r="B339" s="113" t="s">
        <v>663</v>
      </c>
      <c r="C339" s="113" t="s">
        <v>476</v>
      </c>
      <c r="D339" s="113" t="s">
        <v>470</v>
      </c>
      <c r="E339" s="113" t="s">
        <v>86</v>
      </c>
      <c r="F339" s="114">
        <f>50+80+50-62.35</f>
        <v>117.65</v>
      </c>
      <c r="G339" s="114">
        <v>109.83320000000001</v>
      </c>
      <c r="H339" s="128">
        <f t="shared" si="100"/>
        <v>93.355886102847435</v>
      </c>
    </row>
    <row r="340" spans="1:8" s="100" customFormat="1" ht="12" x14ac:dyDescent="0.2">
      <c r="A340" s="112" t="s">
        <v>87</v>
      </c>
      <c r="B340" s="113" t="s">
        <v>663</v>
      </c>
      <c r="C340" s="113" t="s">
        <v>476</v>
      </c>
      <c r="D340" s="113" t="s">
        <v>470</v>
      </c>
      <c r="E340" s="113" t="s">
        <v>88</v>
      </c>
      <c r="F340" s="165">
        <f>F341</f>
        <v>5</v>
      </c>
      <c r="G340" s="165">
        <f t="shared" ref="G340" si="121">G341</f>
        <v>8.1999999999999998E-4</v>
      </c>
      <c r="H340" s="128">
        <f t="shared" si="100"/>
        <v>1.6400000000000001E-2</v>
      </c>
    </row>
    <row r="341" spans="1:8" s="100" customFormat="1" ht="12" x14ac:dyDescent="0.2">
      <c r="A341" s="112" t="s">
        <v>154</v>
      </c>
      <c r="B341" s="113" t="s">
        <v>663</v>
      </c>
      <c r="C341" s="113" t="s">
        <v>476</v>
      </c>
      <c r="D341" s="113" t="s">
        <v>470</v>
      </c>
      <c r="E341" s="113" t="s">
        <v>89</v>
      </c>
      <c r="F341" s="165">
        <v>5</v>
      </c>
      <c r="G341" s="165">
        <v>8.1999999999999998E-4</v>
      </c>
      <c r="H341" s="128">
        <f t="shared" si="100"/>
        <v>1.6400000000000001E-2</v>
      </c>
    </row>
    <row r="342" spans="1:8" s="100" customFormat="1" ht="24" x14ac:dyDescent="0.2">
      <c r="A342" s="121" t="s">
        <v>282</v>
      </c>
      <c r="B342" s="118" t="s">
        <v>664</v>
      </c>
      <c r="C342" s="118"/>
      <c r="D342" s="118"/>
      <c r="E342" s="118"/>
      <c r="F342" s="119">
        <f>F343</f>
        <v>1535</v>
      </c>
      <c r="G342" s="119">
        <f t="shared" ref="G342:G345" si="122">G343</f>
        <v>578.36599999999999</v>
      </c>
      <c r="H342" s="129">
        <f t="shared" si="100"/>
        <v>37.678566775244299</v>
      </c>
    </row>
    <row r="343" spans="1:8" s="100" customFormat="1" ht="12" x14ac:dyDescent="0.2">
      <c r="A343" s="49" t="s">
        <v>364</v>
      </c>
      <c r="B343" s="104" t="s">
        <v>664</v>
      </c>
      <c r="C343" s="104" t="s">
        <v>476</v>
      </c>
      <c r="D343" s="104"/>
      <c r="E343" s="118"/>
      <c r="F343" s="105">
        <f>F344</f>
        <v>1535</v>
      </c>
      <c r="G343" s="105">
        <f t="shared" si="122"/>
        <v>578.36599999999999</v>
      </c>
      <c r="H343" s="127">
        <f t="shared" si="100"/>
        <v>37.678566775244299</v>
      </c>
    </row>
    <row r="344" spans="1:8" s="100" customFormat="1" ht="12" x14ac:dyDescent="0.2">
      <c r="A344" s="65" t="s">
        <v>368</v>
      </c>
      <c r="B344" s="104" t="s">
        <v>664</v>
      </c>
      <c r="C344" s="104" t="s">
        <v>476</v>
      </c>
      <c r="D344" s="104" t="s">
        <v>470</v>
      </c>
      <c r="E344" s="118"/>
      <c r="F344" s="105">
        <f>F345</f>
        <v>1535</v>
      </c>
      <c r="G344" s="105">
        <f t="shared" si="122"/>
        <v>578.36599999999999</v>
      </c>
      <c r="H344" s="127">
        <f t="shared" si="100"/>
        <v>37.678566775244299</v>
      </c>
    </row>
    <row r="345" spans="1:8" s="100" customFormat="1" ht="12" x14ac:dyDescent="0.2">
      <c r="A345" s="112" t="s">
        <v>294</v>
      </c>
      <c r="B345" s="113" t="s">
        <v>664</v>
      </c>
      <c r="C345" s="113" t="s">
        <v>476</v>
      </c>
      <c r="D345" s="113" t="s">
        <v>470</v>
      </c>
      <c r="E345" s="113" t="s">
        <v>84</v>
      </c>
      <c r="F345" s="114">
        <f>F346</f>
        <v>1535</v>
      </c>
      <c r="G345" s="114">
        <f t="shared" si="122"/>
        <v>578.36599999999999</v>
      </c>
      <c r="H345" s="128">
        <f t="shared" si="100"/>
        <v>37.678566775244299</v>
      </c>
    </row>
    <row r="346" spans="1:8" s="100" customFormat="1" ht="12" x14ac:dyDescent="0.2">
      <c r="A346" s="112" t="s">
        <v>85</v>
      </c>
      <c r="B346" s="113" t="s">
        <v>664</v>
      </c>
      <c r="C346" s="113" t="s">
        <v>476</v>
      </c>
      <c r="D346" s="113" t="s">
        <v>470</v>
      </c>
      <c r="E346" s="113" t="s">
        <v>86</v>
      </c>
      <c r="F346" s="114">
        <f>1310+175+50</f>
        <v>1535</v>
      </c>
      <c r="G346" s="114">
        <v>578.36599999999999</v>
      </c>
      <c r="H346" s="128">
        <f t="shared" ref="H346:H409" si="123">G346/F346*100</f>
        <v>37.678566775244299</v>
      </c>
    </row>
    <row r="347" spans="1:8" s="100" customFormat="1" ht="36" x14ac:dyDescent="0.2">
      <c r="A347" s="121" t="s">
        <v>442</v>
      </c>
      <c r="B347" s="118" t="s">
        <v>665</v>
      </c>
      <c r="C347" s="118"/>
      <c r="D347" s="118"/>
      <c r="E347" s="118"/>
      <c r="F347" s="119">
        <f>F348</f>
        <v>550</v>
      </c>
      <c r="G347" s="119">
        <f t="shared" ref="G347:G348" si="124">G348</f>
        <v>366.529</v>
      </c>
      <c r="H347" s="129">
        <f t="shared" si="123"/>
        <v>66.641636363636366</v>
      </c>
    </row>
    <row r="348" spans="1:8" s="100" customFormat="1" ht="12" x14ac:dyDescent="0.2">
      <c r="A348" s="49" t="s">
        <v>364</v>
      </c>
      <c r="B348" s="104" t="s">
        <v>665</v>
      </c>
      <c r="C348" s="104" t="s">
        <v>476</v>
      </c>
      <c r="D348" s="104"/>
      <c r="E348" s="132"/>
      <c r="F348" s="105">
        <f>F349</f>
        <v>550</v>
      </c>
      <c r="G348" s="105">
        <f t="shared" si="124"/>
        <v>366.529</v>
      </c>
      <c r="H348" s="127">
        <f t="shared" si="123"/>
        <v>66.641636363636366</v>
      </c>
    </row>
    <row r="349" spans="1:8" s="100" customFormat="1" ht="12" x14ac:dyDescent="0.2">
      <c r="A349" s="65" t="s">
        <v>368</v>
      </c>
      <c r="B349" s="104" t="s">
        <v>665</v>
      </c>
      <c r="C349" s="104" t="s">
        <v>476</v>
      </c>
      <c r="D349" s="104" t="s">
        <v>470</v>
      </c>
      <c r="E349" s="132"/>
      <c r="F349" s="105">
        <f>F350+F352</f>
        <v>550</v>
      </c>
      <c r="G349" s="105">
        <f t="shared" ref="G349" si="125">G350+G352</f>
        <v>366.529</v>
      </c>
      <c r="H349" s="127">
        <f t="shared" si="123"/>
        <v>66.641636363636366</v>
      </c>
    </row>
    <row r="350" spans="1:8" s="100" customFormat="1" ht="12" x14ac:dyDescent="0.2">
      <c r="A350" s="112" t="s">
        <v>294</v>
      </c>
      <c r="B350" s="113" t="s">
        <v>665</v>
      </c>
      <c r="C350" s="113" t="s">
        <v>476</v>
      </c>
      <c r="D350" s="113" t="s">
        <v>470</v>
      </c>
      <c r="E350" s="113" t="s">
        <v>84</v>
      </c>
      <c r="F350" s="114">
        <f>F351</f>
        <v>360</v>
      </c>
      <c r="G350" s="114">
        <f t="shared" ref="G350" si="126">G351</f>
        <v>280.59899999999999</v>
      </c>
      <c r="H350" s="128">
        <f t="shared" si="123"/>
        <v>77.944166666666661</v>
      </c>
    </row>
    <row r="351" spans="1:8" s="100" customFormat="1" ht="12" x14ac:dyDescent="0.2">
      <c r="A351" s="112" t="s">
        <v>85</v>
      </c>
      <c r="B351" s="113" t="s">
        <v>665</v>
      </c>
      <c r="C351" s="113" t="s">
        <v>476</v>
      </c>
      <c r="D351" s="113" t="s">
        <v>470</v>
      </c>
      <c r="E351" s="113" t="s">
        <v>86</v>
      </c>
      <c r="F351" s="114">
        <f>205+25+130</f>
        <v>360</v>
      </c>
      <c r="G351" s="114">
        <v>280.59899999999999</v>
      </c>
      <c r="H351" s="128">
        <f t="shared" si="123"/>
        <v>77.944166666666661</v>
      </c>
    </row>
    <row r="352" spans="1:8" s="100" customFormat="1" ht="12" x14ac:dyDescent="0.2">
      <c r="A352" s="112" t="s">
        <v>95</v>
      </c>
      <c r="B352" s="113" t="s">
        <v>665</v>
      </c>
      <c r="C352" s="113" t="s">
        <v>476</v>
      </c>
      <c r="D352" s="113" t="s">
        <v>470</v>
      </c>
      <c r="E352" s="113" t="s">
        <v>94</v>
      </c>
      <c r="F352" s="114">
        <f>F353</f>
        <v>190</v>
      </c>
      <c r="G352" s="114">
        <f t="shared" ref="G352" si="127">G353</f>
        <v>85.93</v>
      </c>
      <c r="H352" s="128">
        <f t="shared" si="123"/>
        <v>45.226315789473688</v>
      </c>
    </row>
    <row r="353" spans="1:8" s="100" customFormat="1" ht="15.75" customHeight="1" x14ac:dyDescent="0.2">
      <c r="A353" s="112" t="s">
        <v>655</v>
      </c>
      <c r="B353" s="113" t="s">
        <v>665</v>
      </c>
      <c r="C353" s="113" t="s">
        <v>476</v>
      </c>
      <c r="D353" s="113" t="s">
        <v>470</v>
      </c>
      <c r="E353" s="113" t="s">
        <v>656</v>
      </c>
      <c r="F353" s="114">
        <v>190</v>
      </c>
      <c r="G353" s="114">
        <v>85.93</v>
      </c>
      <c r="H353" s="128">
        <f t="shared" si="123"/>
        <v>45.226315789473688</v>
      </c>
    </row>
    <row r="354" spans="1:8" s="100" customFormat="1" ht="12" x14ac:dyDescent="0.2">
      <c r="A354" s="103" t="s">
        <v>283</v>
      </c>
      <c r="B354" s="104" t="s">
        <v>169</v>
      </c>
      <c r="C354" s="104"/>
      <c r="D354" s="104"/>
      <c r="E354" s="104"/>
      <c r="F354" s="105">
        <f>F355+F360+F366</f>
        <v>38925.370000000003</v>
      </c>
      <c r="G354" s="105">
        <f>G355+G360+G366</f>
        <v>22385.838909999999</v>
      </c>
      <c r="H354" s="127">
        <f t="shared" si="123"/>
        <v>57.509636799855713</v>
      </c>
    </row>
    <row r="355" spans="1:8" s="100" customFormat="1" ht="24" x14ac:dyDescent="0.2">
      <c r="A355" s="121" t="s">
        <v>176</v>
      </c>
      <c r="B355" s="118" t="s">
        <v>666</v>
      </c>
      <c r="C355" s="118"/>
      <c r="D355" s="118"/>
      <c r="E355" s="118"/>
      <c r="F355" s="119">
        <f>F356</f>
        <v>640</v>
      </c>
      <c r="G355" s="119">
        <f t="shared" ref="G355:G358" si="128">G356</f>
        <v>640</v>
      </c>
      <c r="H355" s="129">
        <f t="shared" si="123"/>
        <v>100</v>
      </c>
    </row>
    <row r="356" spans="1:8" s="100" customFormat="1" ht="12" x14ac:dyDescent="0.2">
      <c r="A356" s="49" t="s">
        <v>389</v>
      </c>
      <c r="B356" s="22" t="s">
        <v>666</v>
      </c>
      <c r="C356" s="22" t="s">
        <v>501</v>
      </c>
      <c r="D356" s="22"/>
      <c r="E356" s="104"/>
      <c r="F356" s="105">
        <f>F357</f>
        <v>640</v>
      </c>
      <c r="G356" s="105">
        <f t="shared" si="128"/>
        <v>640</v>
      </c>
      <c r="H356" s="127">
        <f t="shared" si="123"/>
        <v>100</v>
      </c>
    </row>
    <row r="357" spans="1:8" s="100" customFormat="1" ht="12" x14ac:dyDescent="0.2">
      <c r="A357" s="65" t="s">
        <v>377</v>
      </c>
      <c r="B357" s="22" t="s">
        <v>666</v>
      </c>
      <c r="C357" s="22" t="s">
        <v>501</v>
      </c>
      <c r="D357" s="22" t="s">
        <v>469</v>
      </c>
      <c r="E357" s="104"/>
      <c r="F357" s="105">
        <f>F358</f>
        <v>640</v>
      </c>
      <c r="G357" s="105">
        <f t="shared" si="128"/>
        <v>640</v>
      </c>
      <c r="H357" s="127">
        <f t="shared" si="123"/>
        <v>100</v>
      </c>
    </row>
    <row r="358" spans="1:8" s="100" customFormat="1" ht="12" x14ac:dyDescent="0.2">
      <c r="A358" s="112" t="s">
        <v>95</v>
      </c>
      <c r="B358" s="113" t="s">
        <v>666</v>
      </c>
      <c r="C358" s="113" t="s">
        <v>501</v>
      </c>
      <c r="D358" s="113" t="s">
        <v>469</v>
      </c>
      <c r="E358" s="113" t="s">
        <v>94</v>
      </c>
      <c r="F358" s="114">
        <f>F359</f>
        <v>640</v>
      </c>
      <c r="G358" s="114">
        <f t="shared" si="128"/>
        <v>640</v>
      </c>
      <c r="H358" s="128">
        <f t="shared" si="123"/>
        <v>100</v>
      </c>
    </row>
    <row r="359" spans="1:8" s="100" customFormat="1" ht="12" x14ac:dyDescent="0.2">
      <c r="A359" s="112" t="s">
        <v>96</v>
      </c>
      <c r="B359" s="113" t="s">
        <v>666</v>
      </c>
      <c r="C359" s="113" t="s">
        <v>501</v>
      </c>
      <c r="D359" s="113" t="s">
        <v>469</v>
      </c>
      <c r="E359" s="113" t="s">
        <v>97</v>
      </c>
      <c r="F359" s="114">
        <v>640</v>
      </c>
      <c r="G359" s="114">
        <v>640</v>
      </c>
      <c r="H359" s="128">
        <f t="shared" si="123"/>
        <v>100</v>
      </c>
    </row>
    <row r="360" spans="1:8" s="100" customFormat="1" ht="12" x14ac:dyDescent="0.2">
      <c r="A360" s="121" t="s">
        <v>177</v>
      </c>
      <c r="B360" s="118" t="s">
        <v>479</v>
      </c>
      <c r="C360" s="118"/>
      <c r="D360" s="118"/>
      <c r="E360" s="118"/>
      <c r="F360" s="119">
        <f>F361</f>
        <v>26953.200000000001</v>
      </c>
      <c r="G360" s="119">
        <f t="shared" ref="G360:G362" si="129">G361</f>
        <v>10462.084999999999</v>
      </c>
      <c r="H360" s="129">
        <f t="shared" si="123"/>
        <v>38.815743585177266</v>
      </c>
    </row>
    <row r="361" spans="1:8" s="100" customFormat="1" ht="12" x14ac:dyDescent="0.2">
      <c r="A361" s="49" t="s">
        <v>389</v>
      </c>
      <c r="B361" s="22" t="s">
        <v>662</v>
      </c>
      <c r="C361" s="22" t="s">
        <v>501</v>
      </c>
      <c r="D361" s="22"/>
      <c r="E361" s="118"/>
      <c r="F361" s="105">
        <f>F362</f>
        <v>26953.200000000001</v>
      </c>
      <c r="G361" s="105">
        <f t="shared" si="129"/>
        <v>10462.084999999999</v>
      </c>
      <c r="H361" s="127">
        <f t="shared" si="123"/>
        <v>38.815743585177266</v>
      </c>
    </row>
    <row r="362" spans="1:8" s="100" customFormat="1" ht="12" x14ac:dyDescent="0.2">
      <c r="A362" s="65" t="s">
        <v>377</v>
      </c>
      <c r="B362" s="22" t="s">
        <v>662</v>
      </c>
      <c r="C362" s="22" t="s">
        <v>501</v>
      </c>
      <c r="D362" s="22" t="s">
        <v>469</v>
      </c>
      <c r="E362" s="118"/>
      <c r="F362" s="105">
        <f>F363</f>
        <v>26953.200000000001</v>
      </c>
      <c r="G362" s="105">
        <f t="shared" si="129"/>
        <v>10462.084999999999</v>
      </c>
      <c r="H362" s="127">
        <f t="shared" si="123"/>
        <v>38.815743585177266</v>
      </c>
    </row>
    <row r="363" spans="1:8" s="100" customFormat="1" ht="12" x14ac:dyDescent="0.2">
      <c r="A363" s="112" t="s">
        <v>104</v>
      </c>
      <c r="B363" s="113" t="s">
        <v>662</v>
      </c>
      <c r="C363" s="113" t="s">
        <v>476</v>
      </c>
      <c r="D363" s="113" t="s">
        <v>477</v>
      </c>
      <c r="E363" s="113" t="s">
        <v>391</v>
      </c>
      <c r="F363" s="114">
        <f>F364+F365</f>
        <v>26953.200000000001</v>
      </c>
      <c r="G363" s="114">
        <f t="shared" ref="G363" si="130">G364+G365</f>
        <v>10462.084999999999</v>
      </c>
      <c r="H363" s="128">
        <f t="shared" si="123"/>
        <v>38.815743585177266</v>
      </c>
    </row>
    <row r="364" spans="1:8" s="100" customFormat="1" ht="12" x14ac:dyDescent="0.2">
      <c r="A364" s="112" t="s">
        <v>105</v>
      </c>
      <c r="B364" s="113" t="s">
        <v>662</v>
      </c>
      <c r="C364" s="113" t="s">
        <v>476</v>
      </c>
      <c r="D364" s="113" t="s">
        <v>477</v>
      </c>
      <c r="E364" s="113" t="s">
        <v>409</v>
      </c>
      <c r="F364" s="114">
        <v>26058.400000000001</v>
      </c>
      <c r="G364" s="114">
        <v>10117.535</v>
      </c>
      <c r="H364" s="128">
        <f t="shared" si="123"/>
        <v>38.82638611733644</v>
      </c>
    </row>
    <row r="365" spans="1:8" s="100" customFormat="1" ht="12" x14ac:dyDescent="0.2">
      <c r="A365" s="112" t="s">
        <v>502</v>
      </c>
      <c r="B365" s="113" t="s">
        <v>662</v>
      </c>
      <c r="C365" s="113" t="s">
        <v>476</v>
      </c>
      <c r="D365" s="113" t="s">
        <v>477</v>
      </c>
      <c r="E365" s="113" t="s">
        <v>503</v>
      </c>
      <c r="F365" s="114">
        <v>894.8</v>
      </c>
      <c r="G365" s="114">
        <v>344.55</v>
      </c>
      <c r="H365" s="128">
        <f t="shared" si="123"/>
        <v>38.505811354492621</v>
      </c>
    </row>
    <row r="366" spans="1:8" s="100" customFormat="1" ht="48" x14ac:dyDescent="0.2">
      <c r="A366" s="133" t="s">
        <v>498</v>
      </c>
      <c r="B366" s="118" t="s">
        <v>284</v>
      </c>
      <c r="C366" s="118"/>
      <c r="D366" s="118"/>
      <c r="E366" s="118"/>
      <c r="F366" s="119">
        <f>F367</f>
        <v>11332.170000000002</v>
      </c>
      <c r="G366" s="119">
        <f t="shared" ref="G366:G369" si="131">G367</f>
        <v>11283.753909999999</v>
      </c>
      <c r="H366" s="129">
        <f t="shared" si="123"/>
        <v>99.57275535047566</v>
      </c>
    </row>
    <row r="367" spans="1:8" s="100" customFormat="1" ht="12" x14ac:dyDescent="0.2">
      <c r="A367" s="49" t="s">
        <v>389</v>
      </c>
      <c r="B367" s="104" t="s">
        <v>284</v>
      </c>
      <c r="C367" s="22" t="s">
        <v>501</v>
      </c>
      <c r="D367" s="22"/>
      <c r="E367" s="118"/>
      <c r="F367" s="105">
        <f>F368</f>
        <v>11332.170000000002</v>
      </c>
      <c r="G367" s="105">
        <f t="shared" si="131"/>
        <v>11283.753909999999</v>
      </c>
      <c r="H367" s="127">
        <f t="shared" si="123"/>
        <v>99.57275535047566</v>
      </c>
    </row>
    <row r="368" spans="1:8" s="100" customFormat="1" ht="12" x14ac:dyDescent="0.2">
      <c r="A368" s="65" t="s">
        <v>378</v>
      </c>
      <c r="B368" s="104" t="s">
        <v>284</v>
      </c>
      <c r="C368" s="22" t="s">
        <v>501</v>
      </c>
      <c r="D368" s="22" t="s">
        <v>78</v>
      </c>
      <c r="E368" s="118"/>
      <c r="F368" s="105">
        <f>F369</f>
        <v>11332.170000000002</v>
      </c>
      <c r="G368" s="105">
        <f t="shared" si="131"/>
        <v>11283.753909999999</v>
      </c>
      <c r="H368" s="127">
        <f t="shared" si="123"/>
        <v>99.57275535047566</v>
      </c>
    </row>
    <row r="369" spans="1:8" s="100" customFormat="1" ht="12" x14ac:dyDescent="0.2">
      <c r="A369" s="112" t="s">
        <v>95</v>
      </c>
      <c r="B369" s="113" t="s">
        <v>284</v>
      </c>
      <c r="C369" s="113" t="s">
        <v>501</v>
      </c>
      <c r="D369" s="113" t="s">
        <v>78</v>
      </c>
      <c r="E369" s="113" t="s">
        <v>94</v>
      </c>
      <c r="F369" s="114">
        <f>F370</f>
        <v>11332.170000000002</v>
      </c>
      <c r="G369" s="114">
        <f t="shared" si="131"/>
        <v>11283.753909999999</v>
      </c>
      <c r="H369" s="128">
        <f t="shared" si="123"/>
        <v>99.57275535047566</v>
      </c>
    </row>
    <row r="370" spans="1:8" s="100" customFormat="1" ht="12" x14ac:dyDescent="0.2">
      <c r="A370" s="112" t="s">
        <v>155</v>
      </c>
      <c r="B370" s="113" t="s">
        <v>284</v>
      </c>
      <c r="C370" s="113" t="s">
        <v>501</v>
      </c>
      <c r="D370" s="113" t="s">
        <v>78</v>
      </c>
      <c r="E370" s="113" t="s">
        <v>504</v>
      </c>
      <c r="F370" s="114">
        <f>19000-2351.39-5316.44</f>
        <v>11332.170000000002</v>
      </c>
      <c r="G370" s="114">
        <v>11283.753909999999</v>
      </c>
      <c r="H370" s="128">
        <f t="shared" si="123"/>
        <v>99.57275535047566</v>
      </c>
    </row>
    <row r="371" spans="1:8" s="100" customFormat="1" ht="24" x14ac:dyDescent="0.2">
      <c r="A371" s="134" t="s">
        <v>675</v>
      </c>
      <c r="B371" s="104" t="s">
        <v>170</v>
      </c>
      <c r="C371" s="104"/>
      <c r="D371" s="104"/>
      <c r="E371" s="104"/>
      <c r="F371" s="105">
        <f>F372</f>
        <v>10022</v>
      </c>
      <c r="G371" s="105">
        <f t="shared" ref="G371:G372" si="132">G372</f>
        <v>9960.2537699999993</v>
      </c>
      <c r="H371" s="127">
        <f t="shared" si="123"/>
        <v>99.383893135102767</v>
      </c>
    </row>
    <row r="372" spans="1:8" s="100" customFormat="1" x14ac:dyDescent="0.2">
      <c r="A372" s="166" t="s">
        <v>175</v>
      </c>
      <c r="B372" s="104" t="s">
        <v>170</v>
      </c>
      <c r="C372" s="104"/>
      <c r="D372" s="104"/>
      <c r="E372" s="104"/>
      <c r="F372" s="105">
        <f>F373</f>
        <v>10022</v>
      </c>
      <c r="G372" s="105">
        <f t="shared" si="132"/>
        <v>9960.2537699999993</v>
      </c>
      <c r="H372" s="127">
        <f t="shared" si="123"/>
        <v>99.383893135102767</v>
      </c>
    </row>
    <row r="373" spans="1:8" s="100" customFormat="1" ht="24" x14ac:dyDescent="0.2">
      <c r="A373" s="117" t="s">
        <v>393</v>
      </c>
      <c r="B373" s="118" t="s">
        <v>170</v>
      </c>
      <c r="C373" s="118"/>
      <c r="D373" s="118"/>
      <c r="E373" s="118"/>
      <c r="F373" s="119">
        <f>F374+F379</f>
        <v>10022</v>
      </c>
      <c r="G373" s="119">
        <f t="shared" ref="G373" si="133">G374+G379</f>
        <v>9960.2537699999993</v>
      </c>
      <c r="H373" s="129">
        <f t="shared" si="123"/>
        <v>99.383893135102767</v>
      </c>
    </row>
    <row r="374" spans="1:8" s="100" customFormat="1" ht="12" x14ac:dyDescent="0.2">
      <c r="A374" s="49" t="s">
        <v>364</v>
      </c>
      <c r="B374" s="104" t="s">
        <v>285</v>
      </c>
      <c r="C374" s="22" t="s">
        <v>476</v>
      </c>
      <c r="D374" s="22"/>
      <c r="E374" s="118"/>
      <c r="F374" s="105">
        <f>F375</f>
        <v>9500</v>
      </c>
      <c r="G374" s="105">
        <f t="shared" ref="G374:G377" si="134">G375</f>
        <v>9438.2537699999993</v>
      </c>
      <c r="H374" s="127">
        <f t="shared" si="123"/>
        <v>99.350039684210529</v>
      </c>
    </row>
    <row r="375" spans="1:8" s="100" customFormat="1" ht="12" x14ac:dyDescent="0.2">
      <c r="A375" s="65" t="s">
        <v>368</v>
      </c>
      <c r="B375" s="104" t="s">
        <v>285</v>
      </c>
      <c r="C375" s="22" t="s">
        <v>476</v>
      </c>
      <c r="D375" s="22" t="s">
        <v>470</v>
      </c>
      <c r="E375" s="118"/>
      <c r="F375" s="105">
        <f>F376</f>
        <v>9500</v>
      </c>
      <c r="G375" s="105">
        <f t="shared" si="134"/>
        <v>9438.2537699999993</v>
      </c>
      <c r="H375" s="127">
        <f t="shared" si="123"/>
        <v>99.350039684210529</v>
      </c>
    </row>
    <row r="376" spans="1:8" s="100" customFormat="1" ht="12" x14ac:dyDescent="0.2">
      <c r="A376" s="120" t="s">
        <v>375</v>
      </c>
      <c r="B376" s="104" t="s">
        <v>285</v>
      </c>
      <c r="C376" s="22" t="s">
        <v>476</v>
      </c>
      <c r="D376" s="22" t="s">
        <v>470</v>
      </c>
      <c r="E376" s="104"/>
      <c r="F376" s="105">
        <f>F377</f>
        <v>9500</v>
      </c>
      <c r="G376" s="105">
        <f t="shared" si="134"/>
        <v>9438.2537699999993</v>
      </c>
      <c r="H376" s="127">
        <f t="shared" si="123"/>
        <v>99.350039684210529</v>
      </c>
    </row>
    <row r="377" spans="1:8" s="100" customFormat="1" ht="36" x14ac:dyDescent="0.2">
      <c r="A377" s="112" t="s">
        <v>79</v>
      </c>
      <c r="B377" s="113" t="s">
        <v>285</v>
      </c>
      <c r="C377" s="113" t="s">
        <v>476</v>
      </c>
      <c r="D377" s="113" t="s">
        <v>470</v>
      </c>
      <c r="E377" s="113" t="s">
        <v>80</v>
      </c>
      <c r="F377" s="114">
        <f>F378</f>
        <v>9500</v>
      </c>
      <c r="G377" s="114">
        <f t="shared" si="134"/>
        <v>9438.2537699999993</v>
      </c>
      <c r="H377" s="128">
        <f t="shared" si="123"/>
        <v>99.350039684210529</v>
      </c>
    </row>
    <row r="378" spans="1:8" s="100" customFormat="1" ht="12" x14ac:dyDescent="0.2">
      <c r="A378" s="112" t="s">
        <v>81</v>
      </c>
      <c r="B378" s="113" t="s">
        <v>285</v>
      </c>
      <c r="C378" s="113" t="s">
        <v>476</v>
      </c>
      <c r="D378" s="113" t="s">
        <v>470</v>
      </c>
      <c r="E378" s="113" t="s">
        <v>82</v>
      </c>
      <c r="F378" s="114">
        <f>7300+2200</f>
        <v>9500</v>
      </c>
      <c r="G378" s="114">
        <v>9438.2537699999993</v>
      </c>
      <c r="H378" s="128">
        <f t="shared" si="123"/>
        <v>99.350039684210529</v>
      </c>
    </row>
    <row r="379" spans="1:8" s="100" customFormat="1" ht="12" x14ac:dyDescent="0.2">
      <c r="A379" s="103" t="s">
        <v>83</v>
      </c>
      <c r="B379" s="104" t="s">
        <v>286</v>
      </c>
      <c r="C379" s="104"/>
      <c r="D379" s="104"/>
      <c r="E379" s="104"/>
      <c r="F379" s="105">
        <f>F380</f>
        <v>522</v>
      </c>
      <c r="G379" s="105">
        <f t="shared" ref="G379:G382" si="135">G380</f>
        <v>522</v>
      </c>
      <c r="H379" s="127">
        <f t="shared" si="123"/>
        <v>100</v>
      </c>
    </row>
    <row r="380" spans="1:8" s="100" customFormat="1" ht="12" x14ac:dyDescent="0.2">
      <c r="A380" s="49" t="s">
        <v>364</v>
      </c>
      <c r="B380" s="104" t="s">
        <v>286</v>
      </c>
      <c r="C380" s="22" t="s">
        <v>476</v>
      </c>
      <c r="D380" s="22"/>
      <c r="E380" s="104"/>
      <c r="F380" s="105">
        <f>F381</f>
        <v>522</v>
      </c>
      <c r="G380" s="105">
        <f t="shared" si="135"/>
        <v>522</v>
      </c>
      <c r="H380" s="127">
        <f t="shared" si="123"/>
        <v>100</v>
      </c>
    </row>
    <row r="381" spans="1:8" s="100" customFormat="1" ht="12" x14ac:dyDescent="0.2">
      <c r="A381" s="65" t="s">
        <v>368</v>
      </c>
      <c r="B381" s="104" t="s">
        <v>286</v>
      </c>
      <c r="C381" s="22" t="s">
        <v>476</v>
      </c>
      <c r="D381" s="22" t="s">
        <v>470</v>
      </c>
      <c r="E381" s="104"/>
      <c r="F381" s="105">
        <f>F382</f>
        <v>522</v>
      </c>
      <c r="G381" s="105">
        <f t="shared" si="135"/>
        <v>522</v>
      </c>
      <c r="H381" s="127">
        <f t="shared" si="123"/>
        <v>100</v>
      </c>
    </row>
    <row r="382" spans="1:8" s="100" customFormat="1" ht="12" x14ac:dyDescent="0.2">
      <c r="A382" s="112" t="s">
        <v>294</v>
      </c>
      <c r="B382" s="113" t="s">
        <v>286</v>
      </c>
      <c r="C382" s="113" t="s">
        <v>476</v>
      </c>
      <c r="D382" s="113" t="s">
        <v>470</v>
      </c>
      <c r="E382" s="113" t="s">
        <v>84</v>
      </c>
      <c r="F382" s="114">
        <f>F383</f>
        <v>522</v>
      </c>
      <c r="G382" s="114">
        <f t="shared" si="135"/>
        <v>522</v>
      </c>
      <c r="H382" s="128">
        <f t="shared" si="123"/>
        <v>100</v>
      </c>
    </row>
    <row r="383" spans="1:8" s="100" customFormat="1" ht="12" x14ac:dyDescent="0.2">
      <c r="A383" s="112" t="s">
        <v>85</v>
      </c>
      <c r="B383" s="113" t="s">
        <v>286</v>
      </c>
      <c r="C383" s="113" t="s">
        <v>476</v>
      </c>
      <c r="D383" s="113" t="s">
        <v>470</v>
      </c>
      <c r="E383" s="113" t="s">
        <v>86</v>
      </c>
      <c r="F383" s="114">
        <f>252+15+80+160+15</f>
        <v>522</v>
      </c>
      <c r="G383" s="114">
        <v>522</v>
      </c>
      <c r="H383" s="128">
        <f t="shared" si="123"/>
        <v>100</v>
      </c>
    </row>
    <row r="384" spans="1:8" s="100" customFormat="1" ht="27" x14ac:dyDescent="0.2">
      <c r="A384" s="184" t="s">
        <v>587</v>
      </c>
      <c r="B384" s="185" t="s">
        <v>251</v>
      </c>
      <c r="C384" s="191"/>
      <c r="D384" s="191"/>
      <c r="E384" s="191"/>
      <c r="F384" s="190">
        <f>F385+F406+F417+F450</f>
        <v>202853.69246999998</v>
      </c>
      <c r="G384" s="190">
        <f t="shared" ref="G384" si="136">G385+G406+G417+G450</f>
        <v>199021.65695</v>
      </c>
      <c r="H384" s="190">
        <f>G384/F384*100</f>
        <v>98.110936274642029</v>
      </c>
    </row>
    <row r="385" spans="1:8" s="100" customFormat="1" ht="13.5" x14ac:dyDescent="0.2">
      <c r="A385" s="116" t="s">
        <v>75</v>
      </c>
      <c r="B385" s="107" t="s">
        <v>265</v>
      </c>
      <c r="C385" s="107"/>
      <c r="D385" s="107"/>
      <c r="E385" s="107"/>
      <c r="F385" s="108">
        <f>F386+F391+F396+F401</f>
        <v>17967.010000000002</v>
      </c>
      <c r="G385" s="108">
        <f t="shared" ref="G385" si="137">G386+G391+G396+G401</f>
        <v>17692.121419999999</v>
      </c>
      <c r="H385" s="155">
        <f t="shared" si="123"/>
        <v>98.470037140292106</v>
      </c>
    </row>
    <row r="386" spans="1:8" s="100" customFormat="1" ht="12" x14ac:dyDescent="0.2">
      <c r="A386" s="134" t="s">
        <v>109</v>
      </c>
      <c r="B386" s="104" t="s">
        <v>588</v>
      </c>
      <c r="C386" s="104"/>
      <c r="D386" s="104"/>
      <c r="E386" s="118"/>
      <c r="F386" s="105">
        <f>F387</f>
        <v>17476.010000000002</v>
      </c>
      <c r="G386" s="105">
        <f t="shared" ref="G386" si="138">G387</f>
        <v>17201.121419999999</v>
      </c>
      <c r="H386" s="127">
        <f t="shared" si="123"/>
        <v>98.427051827047464</v>
      </c>
    </row>
    <row r="387" spans="1:8" s="100" customFormat="1" ht="12" x14ac:dyDescent="0.2">
      <c r="A387" s="49" t="s">
        <v>379</v>
      </c>
      <c r="B387" s="104" t="s">
        <v>588</v>
      </c>
      <c r="C387" s="22" t="s">
        <v>474</v>
      </c>
      <c r="D387" s="22"/>
      <c r="E387" s="22"/>
      <c r="F387" s="38">
        <f t="shared" ref="F387:G389" si="139">F388</f>
        <v>17476.010000000002</v>
      </c>
      <c r="G387" s="38">
        <f t="shared" si="139"/>
        <v>17201.121419999999</v>
      </c>
      <c r="H387" s="127">
        <f t="shared" si="123"/>
        <v>98.427051827047464</v>
      </c>
    </row>
    <row r="388" spans="1:8" s="100" customFormat="1" ht="12" x14ac:dyDescent="0.2">
      <c r="A388" s="49" t="s">
        <v>453</v>
      </c>
      <c r="B388" s="104" t="s">
        <v>588</v>
      </c>
      <c r="C388" s="22" t="s">
        <v>474</v>
      </c>
      <c r="D388" s="22" t="s">
        <v>78</v>
      </c>
      <c r="E388" s="22"/>
      <c r="F388" s="38">
        <f t="shared" si="139"/>
        <v>17476.010000000002</v>
      </c>
      <c r="G388" s="38">
        <f t="shared" si="139"/>
        <v>17201.121419999999</v>
      </c>
      <c r="H388" s="127">
        <f t="shared" si="123"/>
        <v>98.427051827047464</v>
      </c>
    </row>
    <row r="389" spans="1:8" s="100" customFormat="1" ht="12" x14ac:dyDescent="0.2">
      <c r="A389" s="112" t="s">
        <v>582</v>
      </c>
      <c r="B389" s="113" t="s">
        <v>588</v>
      </c>
      <c r="C389" s="113" t="s">
        <v>474</v>
      </c>
      <c r="D389" s="113" t="s">
        <v>78</v>
      </c>
      <c r="E389" s="113" t="s">
        <v>84</v>
      </c>
      <c r="F389" s="114">
        <f>F390</f>
        <v>17476.010000000002</v>
      </c>
      <c r="G389" s="114">
        <f t="shared" si="139"/>
        <v>17201.121419999999</v>
      </c>
      <c r="H389" s="128">
        <f t="shared" si="123"/>
        <v>98.427051827047464</v>
      </c>
    </row>
    <row r="390" spans="1:8" s="100" customFormat="1" ht="12" x14ac:dyDescent="0.2">
      <c r="A390" s="112" t="s">
        <v>85</v>
      </c>
      <c r="B390" s="113" t="s">
        <v>588</v>
      </c>
      <c r="C390" s="113" t="s">
        <v>474</v>
      </c>
      <c r="D390" s="113" t="s">
        <v>78</v>
      </c>
      <c r="E390" s="113" t="s">
        <v>86</v>
      </c>
      <c r="F390" s="114">
        <f>20100-2395.99-228</f>
        <v>17476.010000000002</v>
      </c>
      <c r="G390" s="114">
        <v>17201.121419999999</v>
      </c>
      <c r="H390" s="128">
        <f t="shared" si="123"/>
        <v>98.427051827047464</v>
      </c>
    </row>
    <row r="391" spans="1:8" s="100" customFormat="1" ht="12" x14ac:dyDescent="0.2">
      <c r="A391" s="154" t="s">
        <v>347</v>
      </c>
      <c r="B391" s="104" t="s">
        <v>598</v>
      </c>
      <c r="C391" s="104"/>
      <c r="D391" s="104"/>
      <c r="E391" s="118"/>
      <c r="F391" s="105">
        <f>F392</f>
        <v>30</v>
      </c>
      <c r="G391" s="105">
        <f t="shared" ref="G391" si="140">G392</f>
        <v>30</v>
      </c>
      <c r="H391" s="127">
        <f t="shared" si="123"/>
        <v>100</v>
      </c>
    </row>
    <row r="392" spans="1:8" s="100" customFormat="1" ht="12" x14ac:dyDescent="0.2">
      <c r="A392" s="49" t="s">
        <v>379</v>
      </c>
      <c r="B392" s="104" t="s">
        <v>598</v>
      </c>
      <c r="C392" s="22" t="s">
        <v>474</v>
      </c>
      <c r="D392" s="22"/>
      <c r="E392" s="22"/>
      <c r="F392" s="38">
        <f t="shared" ref="F392:G394" si="141">F393</f>
        <v>30</v>
      </c>
      <c r="G392" s="38">
        <f t="shared" si="141"/>
        <v>30</v>
      </c>
      <c r="H392" s="127">
        <f t="shared" si="123"/>
        <v>100</v>
      </c>
    </row>
    <row r="393" spans="1:8" s="100" customFormat="1" ht="12" x14ac:dyDescent="0.2">
      <c r="A393" s="49" t="s">
        <v>453</v>
      </c>
      <c r="B393" s="104" t="s">
        <v>598</v>
      </c>
      <c r="C393" s="22" t="s">
        <v>474</v>
      </c>
      <c r="D393" s="22" t="s">
        <v>78</v>
      </c>
      <c r="E393" s="22"/>
      <c r="F393" s="38">
        <f t="shared" si="141"/>
        <v>30</v>
      </c>
      <c r="G393" s="38">
        <f t="shared" si="141"/>
        <v>30</v>
      </c>
      <c r="H393" s="127">
        <f t="shared" si="123"/>
        <v>100</v>
      </c>
    </row>
    <row r="394" spans="1:8" s="100" customFormat="1" ht="12" x14ac:dyDescent="0.2">
      <c r="A394" s="112" t="s">
        <v>294</v>
      </c>
      <c r="B394" s="113" t="s">
        <v>598</v>
      </c>
      <c r="C394" s="113" t="s">
        <v>474</v>
      </c>
      <c r="D394" s="113" t="s">
        <v>78</v>
      </c>
      <c r="E394" s="113" t="s">
        <v>84</v>
      </c>
      <c r="F394" s="114">
        <f>F395</f>
        <v>30</v>
      </c>
      <c r="G394" s="114">
        <f t="shared" si="141"/>
        <v>30</v>
      </c>
      <c r="H394" s="128">
        <f t="shared" si="123"/>
        <v>100</v>
      </c>
    </row>
    <row r="395" spans="1:8" s="100" customFormat="1" ht="12" x14ac:dyDescent="0.2">
      <c r="A395" s="112" t="s">
        <v>85</v>
      </c>
      <c r="B395" s="113" t="s">
        <v>598</v>
      </c>
      <c r="C395" s="113" t="s">
        <v>474</v>
      </c>
      <c r="D395" s="113" t="s">
        <v>78</v>
      </c>
      <c r="E395" s="113" t="s">
        <v>86</v>
      </c>
      <c r="F395" s="114">
        <f>200-170</f>
        <v>30</v>
      </c>
      <c r="G395" s="114">
        <v>30</v>
      </c>
      <c r="H395" s="128">
        <f t="shared" si="123"/>
        <v>100</v>
      </c>
    </row>
    <row r="396" spans="1:8" s="100" customFormat="1" ht="24" x14ac:dyDescent="0.2">
      <c r="A396" s="103" t="s">
        <v>437</v>
      </c>
      <c r="B396" s="104" t="s">
        <v>599</v>
      </c>
      <c r="C396" s="104"/>
      <c r="D396" s="104"/>
      <c r="E396" s="104"/>
      <c r="F396" s="105">
        <f>F397</f>
        <v>161</v>
      </c>
      <c r="G396" s="105">
        <f t="shared" ref="G396" si="142">G397</f>
        <v>161</v>
      </c>
      <c r="H396" s="127">
        <f t="shared" si="123"/>
        <v>100</v>
      </c>
    </row>
    <row r="397" spans="1:8" s="100" customFormat="1" ht="12" x14ac:dyDescent="0.2">
      <c r="A397" s="49" t="s">
        <v>379</v>
      </c>
      <c r="B397" s="104" t="s">
        <v>599</v>
      </c>
      <c r="C397" s="22" t="s">
        <v>474</v>
      </c>
      <c r="D397" s="22"/>
      <c r="E397" s="22"/>
      <c r="F397" s="38">
        <f t="shared" ref="F397:G399" si="143">F398</f>
        <v>161</v>
      </c>
      <c r="G397" s="38">
        <f t="shared" si="143"/>
        <v>161</v>
      </c>
      <c r="H397" s="127">
        <f t="shared" si="123"/>
        <v>100</v>
      </c>
    </row>
    <row r="398" spans="1:8" s="100" customFormat="1" ht="12" x14ac:dyDescent="0.2">
      <c r="A398" s="49" t="s">
        <v>453</v>
      </c>
      <c r="B398" s="104" t="s">
        <v>599</v>
      </c>
      <c r="C398" s="22" t="s">
        <v>474</v>
      </c>
      <c r="D398" s="22" t="s">
        <v>78</v>
      </c>
      <c r="E398" s="22"/>
      <c r="F398" s="38">
        <f t="shared" si="143"/>
        <v>161</v>
      </c>
      <c r="G398" s="38">
        <f t="shared" si="143"/>
        <v>161</v>
      </c>
      <c r="H398" s="127">
        <f t="shared" si="123"/>
        <v>100</v>
      </c>
    </row>
    <row r="399" spans="1:8" s="100" customFormat="1" ht="12" x14ac:dyDescent="0.2">
      <c r="A399" s="112" t="s">
        <v>294</v>
      </c>
      <c r="B399" s="113" t="s">
        <v>599</v>
      </c>
      <c r="C399" s="113" t="s">
        <v>474</v>
      </c>
      <c r="D399" s="113" t="s">
        <v>78</v>
      </c>
      <c r="E399" s="113" t="s">
        <v>84</v>
      </c>
      <c r="F399" s="114">
        <f>F400</f>
        <v>161</v>
      </c>
      <c r="G399" s="114">
        <f t="shared" si="143"/>
        <v>161</v>
      </c>
      <c r="H399" s="128">
        <f t="shared" si="123"/>
        <v>100</v>
      </c>
    </row>
    <row r="400" spans="1:8" s="100" customFormat="1" ht="12" x14ac:dyDescent="0.2">
      <c r="A400" s="112" t="s">
        <v>85</v>
      </c>
      <c r="B400" s="113" t="s">
        <v>599</v>
      </c>
      <c r="C400" s="113" t="s">
        <v>474</v>
      </c>
      <c r="D400" s="113" t="s">
        <v>78</v>
      </c>
      <c r="E400" s="113" t="s">
        <v>86</v>
      </c>
      <c r="F400" s="114">
        <f>100-4+65</f>
        <v>161</v>
      </c>
      <c r="G400" s="114">
        <v>161</v>
      </c>
      <c r="H400" s="128">
        <f t="shared" si="123"/>
        <v>100</v>
      </c>
    </row>
    <row r="401" spans="1:8" s="100" customFormat="1" ht="12" x14ac:dyDescent="0.2">
      <c r="A401" s="103" t="s">
        <v>333</v>
      </c>
      <c r="B401" s="104" t="s">
        <v>600</v>
      </c>
      <c r="C401" s="104"/>
      <c r="D401" s="104"/>
      <c r="E401" s="104"/>
      <c r="F401" s="105">
        <f>F402</f>
        <v>300</v>
      </c>
      <c r="G401" s="105">
        <f t="shared" ref="G401" si="144">G402</f>
        <v>300</v>
      </c>
      <c r="H401" s="127">
        <f t="shared" si="123"/>
        <v>100</v>
      </c>
    </row>
    <row r="402" spans="1:8" s="100" customFormat="1" ht="12" x14ac:dyDescent="0.2">
      <c r="A402" s="49" t="s">
        <v>379</v>
      </c>
      <c r="B402" s="104" t="s">
        <v>600</v>
      </c>
      <c r="C402" s="22" t="s">
        <v>474</v>
      </c>
      <c r="D402" s="22"/>
      <c r="E402" s="22"/>
      <c r="F402" s="38">
        <f t="shared" ref="F402:G404" si="145">F403</f>
        <v>300</v>
      </c>
      <c r="G402" s="38">
        <f t="shared" si="145"/>
        <v>300</v>
      </c>
      <c r="H402" s="127">
        <f t="shared" si="123"/>
        <v>100</v>
      </c>
    </row>
    <row r="403" spans="1:8" s="100" customFormat="1" ht="12" x14ac:dyDescent="0.2">
      <c r="A403" s="49" t="s">
        <v>453</v>
      </c>
      <c r="B403" s="104" t="s">
        <v>600</v>
      </c>
      <c r="C403" s="22" t="s">
        <v>474</v>
      </c>
      <c r="D403" s="22" t="s">
        <v>78</v>
      </c>
      <c r="E403" s="22"/>
      <c r="F403" s="38">
        <f t="shared" si="145"/>
        <v>300</v>
      </c>
      <c r="G403" s="38">
        <f t="shared" si="145"/>
        <v>300</v>
      </c>
      <c r="H403" s="127">
        <f t="shared" si="123"/>
        <v>100</v>
      </c>
    </row>
    <row r="404" spans="1:8" s="100" customFormat="1" ht="12" x14ac:dyDescent="0.2">
      <c r="A404" s="112" t="s">
        <v>294</v>
      </c>
      <c r="B404" s="113" t="s">
        <v>600</v>
      </c>
      <c r="C404" s="113" t="s">
        <v>474</v>
      </c>
      <c r="D404" s="113" t="s">
        <v>78</v>
      </c>
      <c r="E404" s="113" t="s">
        <v>84</v>
      </c>
      <c r="F404" s="114">
        <f>F405</f>
        <v>300</v>
      </c>
      <c r="G404" s="114">
        <f t="shared" si="145"/>
        <v>300</v>
      </c>
      <c r="H404" s="128">
        <f t="shared" si="123"/>
        <v>100</v>
      </c>
    </row>
    <row r="405" spans="1:8" s="100" customFormat="1" ht="12" x14ac:dyDescent="0.2">
      <c r="A405" s="112" t="s">
        <v>85</v>
      </c>
      <c r="B405" s="113" t="s">
        <v>600</v>
      </c>
      <c r="C405" s="113" t="s">
        <v>474</v>
      </c>
      <c r="D405" s="113" t="s">
        <v>78</v>
      </c>
      <c r="E405" s="113" t="s">
        <v>86</v>
      </c>
      <c r="F405" s="114">
        <v>300</v>
      </c>
      <c r="G405" s="114">
        <v>300</v>
      </c>
      <c r="H405" s="128">
        <f t="shared" si="123"/>
        <v>100</v>
      </c>
    </row>
    <row r="406" spans="1:8" s="100" customFormat="1" ht="13.5" x14ac:dyDescent="0.2">
      <c r="A406" s="116" t="s">
        <v>350</v>
      </c>
      <c r="B406" s="107" t="s">
        <v>257</v>
      </c>
      <c r="C406" s="107"/>
      <c r="D406" s="107"/>
      <c r="E406" s="107"/>
      <c r="F406" s="108">
        <f>F407+F412</f>
        <v>1379.2</v>
      </c>
      <c r="G406" s="108">
        <f t="shared" ref="G406" si="146">G407+G412</f>
        <v>1254.2</v>
      </c>
      <c r="H406" s="127">
        <f t="shared" si="123"/>
        <v>90.936774941995353</v>
      </c>
    </row>
    <row r="407" spans="1:8" s="100" customFormat="1" ht="12" x14ac:dyDescent="0.2">
      <c r="A407" s="134" t="s">
        <v>258</v>
      </c>
      <c r="B407" s="104" t="s">
        <v>591</v>
      </c>
      <c r="C407" s="104"/>
      <c r="D407" s="104"/>
      <c r="E407" s="104"/>
      <c r="F407" s="105">
        <f>F408</f>
        <v>879.2</v>
      </c>
      <c r="G407" s="105">
        <f t="shared" ref="G407" si="147">G408</f>
        <v>879.2</v>
      </c>
      <c r="H407" s="127">
        <f t="shared" si="123"/>
        <v>100</v>
      </c>
    </row>
    <row r="408" spans="1:8" s="100" customFormat="1" ht="12" x14ac:dyDescent="0.2">
      <c r="A408" s="49" t="s">
        <v>364</v>
      </c>
      <c r="B408" s="104" t="s">
        <v>591</v>
      </c>
      <c r="C408" s="22" t="s">
        <v>476</v>
      </c>
      <c r="D408" s="22"/>
      <c r="E408" s="22"/>
      <c r="F408" s="38">
        <f t="shared" ref="F408:G410" si="148">F409</f>
        <v>879.2</v>
      </c>
      <c r="G408" s="38">
        <f t="shared" si="148"/>
        <v>879.2</v>
      </c>
      <c r="H408" s="127">
        <f t="shared" si="123"/>
        <v>100</v>
      </c>
    </row>
    <row r="409" spans="1:8" s="100" customFormat="1" ht="12" x14ac:dyDescent="0.2">
      <c r="A409" s="49" t="s">
        <v>367</v>
      </c>
      <c r="B409" s="104" t="s">
        <v>591</v>
      </c>
      <c r="C409" s="22" t="s">
        <v>476</v>
      </c>
      <c r="D409" s="22" t="s">
        <v>476</v>
      </c>
      <c r="E409" s="22"/>
      <c r="F409" s="38">
        <f t="shared" si="148"/>
        <v>879.2</v>
      </c>
      <c r="G409" s="38">
        <f t="shared" si="148"/>
        <v>879.2</v>
      </c>
      <c r="H409" s="127">
        <f t="shared" si="123"/>
        <v>100</v>
      </c>
    </row>
    <row r="410" spans="1:8" s="100" customFormat="1" ht="12" x14ac:dyDescent="0.2">
      <c r="A410" s="112" t="s">
        <v>582</v>
      </c>
      <c r="B410" s="113" t="s">
        <v>591</v>
      </c>
      <c r="C410" s="113" t="s">
        <v>476</v>
      </c>
      <c r="D410" s="113" t="s">
        <v>476</v>
      </c>
      <c r="E410" s="113" t="s">
        <v>84</v>
      </c>
      <c r="F410" s="114">
        <f>F411</f>
        <v>879.2</v>
      </c>
      <c r="G410" s="114">
        <f t="shared" si="148"/>
        <v>879.2</v>
      </c>
      <c r="H410" s="127">
        <f t="shared" ref="H410:H473" si="149">G410/F410*100</f>
        <v>100</v>
      </c>
    </row>
    <row r="411" spans="1:8" s="100" customFormat="1" ht="12" x14ac:dyDescent="0.2">
      <c r="A411" s="112" t="s">
        <v>85</v>
      </c>
      <c r="B411" s="113" t="s">
        <v>591</v>
      </c>
      <c r="C411" s="113" t="s">
        <v>476</v>
      </c>
      <c r="D411" s="113" t="s">
        <v>476</v>
      </c>
      <c r="E411" s="113" t="s">
        <v>86</v>
      </c>
      <c r="F411" s="114">
        <f>5650-4620-100-50.8</f>
        <v>879.2</v>
      </c>
      <c r="G411" s="114">
        <v>879.2</v>
      </c>
      <c r="H411" s="127">
        <f t="shared" si="149"/>
        <v>100</v>
      </c>
    </row>
    <row r="412" spans="1:8" s="35" customFormat="1" ht="24" x14ac:dyDescent="0.2">
      <c r="A412" s="103" t="s">
        <v>65</v>
      </c>
      <c r="B412" s="104" t="s">
        <v>592</v>
      </c>
      <c r="C412" s="104"/>
      <c r="D412" s="104"/>
      <c r="E412" s="104"/>
      <c r="F412" s="105">
        <f>F413</f>
        <v>500</v>
      </c>
      <c r="G412" s="105">
        <f t="shared" ref="G412" si="150">G413</f>
        <v>375</v>
      </c>
      <c r="H412" s="127">
        <f t="shared" si="149"/>
        <v>75</v>
      </c>
    </row>
    <row r="413" spans="1:8" s="35" customFormat="1" ht="15" x14ac:dyDescent="0.2">
      <c r="A413" s="49" t="s">
        <v>364</v>
      </c>
      <c r="B413" s="104" t="s">
        <v>592</v>
      </c>
      <c r="C413" s="22" t="s">
        <v>476</v>
      </c>
      <c r="D413" s="22"/>
      <c r="E413" s="22"/>
      <c r="F413" s="38">
        <f t="shared" ref="F413:G415" si="151">F414</f>
        <v>500</v>
      </c>
      <c r="G413" s="38">
        <f t="shared" si="151"/>
        <v>375</v>
      </c>
      <c r="H413" s="127">
        <f t="shared" si="149"/>
        <v>75</v>
      </c>
    </row>
    <row r="414" spans="1:8" s="35" customFormat="1" ht="15" x14ac:dyDescent="0.2">
      <c r="A414" s="49" t="s">
        <v>367</v>
      </c>
      <c r="B414" s="104" t="s">
        <v>592</v>
      </c>
      <c r="C414" s="22" t="s">
        <v>476</v>
      </c>
      <c r="D414" s="22" t="s">
        <v>476</v>
      </c>
      <c r="E414" s="22"/>
      <c r="F414" s="38">
        <f t="shared" si="151"/>
        <v>500</v>
      </c>
      <c r="G414" s="38">
        <f t="shared" si="151"/>
        <v>375</v>
      </c>
      <c r="H414" s="127">
        <f t="shared" si="149"/>
        <v>75</v>
      </c>
    </row>
    <row r="415" spans="1:8" s="35" customFormat="1" ht="13.5" customHeight="1" x14ac:dyDescent="0.2">
      <c r="A415" s="112" t="s">
        <v>593</v>
      </c>
      <c r="B415" s="113" t="s">
        <v>592</v>
      </c>
      <c r="C415" s="113" t="s">
        <v>476</v>
      </c>
      <c r="D415" s="113" t="s">
        <v>476</v>
      </c>
      <c r="E415" s="113" t="s">
        <v>391</v>
      </c>
      <c r="F415" s="114">
        <f>F416</f>
        <v>500</v>
      </c>
      <c r="G415" s="114">
        <f t="shared" si="151"/>
        <v>375</v>
      </c>
      <c r="H415" s="128">
        <f t="shared" si="149"/>
        <v>75</v>
      </c>
    </row>
    <row r="416" spans="1:8" s="35" customFormat="1" ht="12.75" customHeight="1" x14ac:dyDescent="0.2">
      <c r="A416" s="197" t="s">
        <v>139</v>
      </c>
      <c r="B416" s="113" t="s">
        <v>592</v>
      </c>
      <c r="C416" s="113" t="s">
        <v>476</v>
      </c>
      <c r="D416" s="113" t="s">
        <v>476</v>
      </c>
      <c r="E416" s="113" t="s">
        <v>448</v>
      </c>
      <c r="F416" s="114">
        <v>500</v>
      </c>
      <c r="G416" s="114">
        <v>375</v>
      </c>
      <c r="H416" s="128">
        <f t="shared" si="149"/>
        <v>75</v>
      </c>
    </row>
    <row r="417" spans="1:8" s="35" customFormat="1" ht="24" x14ac:dyDescent="0.2">
      <c r="A417" s="117" t="s">
        <v>351</v>
      </c>
      <c r="B417" s="118" t="s">
        <v>252</v>
      </c>
      <c r="C417" s="118"/>
      <c r="D417" s="118"/>
      <c r="E417" s="118"/>
      <c r="F417" s="119">
        <f>F418+F424+F430+F435+F440+F445</f>
        <v>179482.48246999999</v>
      </c>
      <c r="G417" s="119">
        <f t="shared" ref="G417" si="152">G418+G424+G430+G435+G440+G445</f>
        <v>176198.76217</v>
      </c>
      <c r="H417" s="129">
        <f t="shared" si="149"/>
        <v>98.1704508123522</v>
      </c>
    </row>
    <row r="418" spans="1:8" s="35" customFormat="1" ht="24" x14ac:dyDescent="0.2">
      <c r="A418" s="103" t="s">
        <v>589</v>
      </c>
      <c r="B418" s="104" t="s">
        <v>590</v>
      </c>
      <c r="C418" s="104"/>
      <c r="D418" s="104"/>
      <c r="E418" s="104"/>
      <c r="F418" s="105">
        <f>F419</f>
        <v>83711.8</v>
      </c>
      <c r="G418" s="105">
        <f t="shared" ref="G418:G422" si="153">G419</f>
        <v>82825.290340000007</v>
      </c>
      <c r="H418" s="127">
        <f t="shared" si="149"/>
        <v>98.940997971612134</v>
      </c>
    </row>
    <row r="419" spans="1:8" s="35" customFormat="1" ht="24" x14ac:dyDescent="0.2">
      <c r="A419" s="117" t="s">
        <v>302</v>
      </c>
      <c r="B419" s="118" t="s">
        <v>590</v>
      </c>
      <c r="C419" s="118"/>
      <c r="D419" s="118"/>
      <c r="E419" s="118"/>
      <c r="F419" s="119">
        <f>F420</f>
        <v>83711.8</v>
      </c>
      <c r="G419" s="119">
        <f t="shared" si="153"/>
        <v>82825.290340000007</v>
      </c>
      <c r="H419" s="129">
        <f t="shared" si="149"/>
        <v>98.940997971612134</v>
      </c>
    </row>
    <row r="420" spans="1:8" s="35" customFormat="1" ht="15" x14ac:dyDescent="0.2">
      <c r="A420" s="49" t="s">
        <v>364</v>
      </c>
      <c r="B420" s="104" t="s">
        <v>590</v>
      </c>
      <c r="C420" s="22" t="s">
        <v>476</v>
      </c>
      <c r="D420" s="22"/>
      <c r="E420" s="22"/>
      <c r="F420" s="38">
        <f>F421</f>
        <v>83711.8</v>
      </c>
      <c r="G420" s="38">
        <f t="shared" si="153"/>
        <v>82825.290340000007</v>
      </c>
      <c r="H420" s="127">
        <f t="shared" si="149"/>
        <v>98.940997971612134</v>
      </c>
    </row>
    <row r="421" spans="1:8" s="35" customFormat="1" ht="15" x14ac:dyDescent="0.2">
      <c r="A421" s="65" t="s">
        <v>271</v>
      </c>
      <c r="B421" s="104" t="s">
        <v>590</v>
      </c>
      <c r="C421" s="22" t="s">
        <v>476</v>
      </c>
      <c r="D421" s="22" t="s">
        <v>469</v>
      </c>
      <c r="E421" s="22"/>
      <c r="F421" s="38">
        <f>F422</f>
        <v>83711.8</v>
      </c>
      <c r="G421" s="38">
        <f t="shared" si="153"/>
        <v>82825.290340000007</v>
      </c>
      <c r="H421" s="127">
        <f t="shared" si="149"/>
        <v>98.940997971612134</v>
      </c>
    </row>
    <row r="422" spans="1:8" s="35" customFormat="1" ht="15" x14ac:dyDescent="0.2">
      <c r="A422" s="112" t="s">
        <v>104</v>
      </c>
      <c r="B422" s="113" t="s">
        <v>590</v>
      </c>
      <c r="C422" s="113" t="s">
        <v>476</v>
      </c>
      <c r="D422" s="113" t="s">
        <v>469</v>
      </c>
      <c r="E422" s="113" t="s">
        <v>391</v>
      </c>
      <c r="F422" s="114">
        <f>F423</f>
        <v>83711.8</v>
      </c>
      <c r="G422" s="114">
        <f t="shared" si="153"/>
        <v>82825.290340000007</v>
      </c>
      <c r="H422" s="128">
        <f t="shared" si="149"/>
        <v>98.940997971612134</v>
      </c>
    </row>
    <row r="423" spans="1:8" s="35" customFormat="1" ht="15" x14ac:dyDescent="0.2">
      <c r="A423" s="112" t="s">
        <v>105</v>
      </c>
      <c r="B423" s="113" t="s">
        <v>590</v>
      </c>
      <c r="C423" s="113" t="s">
        <v>476</v>
      </c>
      <c r="D423" s="113" t="s">
        <v>469</v>
      </c>
      <c r="E423" s="113" t="s">
        <v>409</v>
      </c>
      <c r="F423" s="114">
        <f>90628.6-6916.8</f>
        <v>83711.8</v>
      </c>
      <c r="G423" s="114">
        <v>82825.290340000007</v>
      </c>
      <c r="H423" s="128">
        <f t="shared" si="149"/>
        <v>98.940997971612134</v>
      </c>
    </row>
    <row r="424" spans="1:8" s="35" customFormat="1" ht="15" x14ac:dyDescent="0.2">
      <c r="A424" s="103" t="s">
        <v>596</v>
      </c>
      <c r="B424" s="104" t="s">
        <v>597</v>
      </c>
      <c r="C424" s="104"/>
      <c r="D424" s="104"/>
      <c r="E424" s="104"/>
      <c r="F424" s="105">
        <f>F425</f>
        <v>30585.199999999997</v>
      </c>
      <c r="G424" s="105">
        <f t="shared" ref="G424:G428" si="154">G425</f>
        <v>28444.10082</v>
      </c>
      <c r="H424" s="127">
        <f t="shared" si="149"/>
        <v>92.999558021526767</v>
      </c>
    </row>
    <row r="425" spans="1:8" s="35" customFormat="1" ht="24" x14ac:dyDescent="0.2">
      <c r="A425" s="117" t="s">
        <v>497</v>
      </c>
      <c r="B425" s="118" t="s">
        <v>597</v>
      </c>
      <c r="C425" s="118"/>
      <c r="D425" s="118"/>
      <c r="E425" s="118"/>
      <c r="F425" s="119">
        <f>F426</f>
        <v>30585.199999999997</v>
      </c>
      <c r="G425" s="119">
        <f t="shared" si="154"/>
        <v>28444.10082</v>
      </c>
      <c r="H425" s="129">
        <f t="shared" si="149"/>
        <v>92.999558021526767</v>
      </c>
    </row>
    <row r="426" spans="1:8" s="35" customFormat="1" ht="15" x14ac:dyDescent="0.2">
      <c r="A426" s="49" t="s">
        <v>379</v>
      </c>
      <c r="B426" s="22" t="s">
        <v>597</v>
      </c>
      <c r="C426" s="22" t="s">
        <v>474</v>
      </c>
      <c r="D426" s="22"/>
      <c r="E426" s="22"/>
      <c r="F426" s="38">
        <f>F427</f>
        <v>30585.199999999997</v>
      </c>
      <c r="G426" s="38">
        <f t="shared" si="154"/>
        <v>28444.10082</v>
      </c>
      <c r="H426" s="127">
        <f t="shared" si="149"/>
        <v>92.999558021526767</v>
      </c>
    </row>
    <row r="427" spans="1:8" s="35" customFormat="1" ht="15" x14ac:dyDescent="0.2">
      <c r="A427" s="49" t="s">
        <v>369</v>
      </c>
      <c r="B427" s="22" t="s">
        <v>597</v>
      </c>
      <c r="C427" s="22" t="s">
        <v>474</v>
      </c>
      <c r="D427" s="22" t="s">
        <v>76</v>
      </c>
      <c r="E427" s="22"/>
      <c r="F427" s="38">
        <f>F428</f>
        <v>30585.199999999997</v>
      </c>
      <c r="G427" s="38">
        <f t="shared" si="154"/>
        <v>28444.10082</v>
      </c>
      <c r="H427" s="127">
        <f t="shared" si="149"/>
        <v>92.999558021526767</v>
      </c>
    </row>
    <row r="428" spans="1:8" s="35" customFormat="1" ht="15" x14ac:dyDescent="0.2">
      <c r="A428" s="112" t="s">
        <v>104</v>
      </c>
      <c r="B428" s="113" t="s">
        <v>597</v>
      </c>
      <c r="C428" s="113" t="s">
        <v>474</v>
      </c>
      <c r="D428" s="113" t="s">
        <v>76</v>
      </c>
      <c r="E428" s="113" t="s">
        <v>391</v>
      </c>
      <c r="F428" s="114">
        <f>F429</f>
        <v>30585.199999999997</v>
      </c>
      <c r="G428" s="114">
        <f t="shared" si="154"/>
        <v>28444.10082</v>
      </c>
      <c r="H428" s="128">
        <f t="shared" si="149"/>
        <v>92.999558021526767</v>
      </c>
    </row>
    <row r="429" spans="1:8" s="35" customFormat="1" ht="15" x14ac:dyDescent="0.2">
      <c r="A429" s="112" t="s">
        <v>105</v>
      </c>
      <c r="B429" s="113" t="s">
        <v>597</v>
      </c>
      <c r="C429" s="113" t="s">
        <v>474</v>
      </c>
      <c r="D429" s="113" t="s">
        <v>76</v>
      </c>
      <c r="E429" s="113" t="s">
        <v>409</v>
      </c>
      <c r="F429" s="114">
        <f>39896.2-1-1100-8210</f>
        <v>30585.199999999997</v>
      </c>
      <c r="G429" s="114">
        <v>28444.10082</v>
      </c>
      <c r="H429" s="128">
        <f t="shared" si="149"/>
        <v>92.999558021526767</v>
      </c>
    </row>
    <row r="430" spans="1:8" s="35" customFormat="1" ht="15" x14ac:dyDescent="0.2">
      <c r="A430" s="117" t="s">
        <v>415</v>
      </c>
      <c r="B430" s="118" t="s">
        <v>595</v>
      </c>
      <c r="C430" s="118"/>
      <c r="D430" s="118"/>
      <c r="E430" s="118"/>
      <c r="F430" s="119">
        <f>F431</f>
        <v>25111.59</v>
      </c>
      <c r="G430" s="119">
        <f t="shared" ref="G430:G433" si="155">G431</f>
        <v>24855.47854</v>
      </c>
      <c r="H430" s="129">
        <f t="shared" si="149"/>
        <v>98.980106556374963</v>
      </c>
    </row>
    <row r="431" spans="1:8" s="35" customFormat="1" ht="15" x14ac:dyDescent="0.2">
      <c r="A431" s="49" t="s">
        <v>379</v>
      </c>
      <c r="B431" s="22" t="s">
        <v>595</v>
      </c>
      <c r="C431" s="22" t="s">
        <v>474</v>
      </c>
      <c r="D431" s="22"/>
      <c r="E431" s="22"/>
      <c r="F431" s="38">
        <f>F432</f>
        <v>25111.59</v>
      </c>
      <c r="G431" s="38">
        <f t="shared" si="155"/>
        <v>24855.47854</v>
      </c>
      <c r="H431" s="127">
        <f t="shared" si="149"/>
        <v>98.980106556374963</v>
      </c>
    </row>
    <row r="432" spans="1:8" s="35" customFormat="1" ht="15" x14ac:dyDescent="0.2">
      <c r="A432" s="49" t="s">
        <v>369</v>
      </c>
      <c r="B432" s="22" t="s">
        <v>595</v>
      </c>
      <c r="C432" s="22" t="s">
        <v>474</v>
      </c>
      <c r="D432" s="22" t="s">
        <v>76</v>
      </c>
      <c r="E432" s="22"/>
      <c r="F432" s="38">
        <f>F433</f>
        <v>25111.59</v>
      </c>
      <c r="G432" s="38">
        <f t="shared" si="155"/>
        <v>24855.47854</v>
      </c>
      <c r="H432" s="127">
        <f t="shared" si="149"/>
        <v>98.980106556374963</v>
      </c>
    </row>
    <row r="433" spans="1:8" s="35" customFormat="1" ht="15" x14ac:dyDescent="0.2">
      <c r="A433" s="112" t="s">
        <v>104</v>
      </c>
      <c r="B433" s="113" t="s">
        <v>595</v>
      </c>
      <c r="C433" s="113" t="s">
        <v>474</v>
      </c>
      <c r="D433" s="113" t="s">
        <v>76</v>
      </c>
      <c r="E433" s="113" t="s">
        <v>391</v>
      </c>
      <c r="F433" s="114">
        <f>F434</f>
        <v>25111.59</v>
      </c>
      <c r="G433" s="114">
        <f t="shared" si="155"/>
        <v>24855.47854</v>
      </c>
      <c r="H433" s="128">
        <f t="shared" si="149"/>
        <v>98.980106556374963</v>
      </c>
    </row>
    <row r="434" spans="1:8" s="35" customFormat="1" ht="15" x14ac:dyDescent="0.2">
      <c r="A434" s="112" t="s">
        <v>105</v>
      </c>
      <c r="B434" s="113" t="s">
        <v>595</v>
      </c>
      <c r="C434" s="113" t="s">
        <v>474</v>
      </c>
      <c r="D434" s="113" t="s">
        <v>76</v>
      </c>
      <c r="E434" s="113" t="s">
        <v>409</v>
      </c>
      <c r="F434" s="114">
        <f>12192+2740.79+5500+1100+163-284.2+3700</f>
        <v>25111.59</v>
      </c>
      <c r="G434" s="114">
        <v>24855.47854</v>
      </c>
      <c r="H434" s="128">
        <f t="shared" si="149"/>
        <v>98.980106556374963</v>
      </c>
    </row>
    <row r="435" spans="1:8" s="35" customFormat="1" ht="24" x14ac:dyDescent="0.2">
      <c r="A435" s="117" t="s">
        <v>28</v>
      </c>
      <c r="B435" s="118" t="s">
        <v>260</v>
      </c>
      <c r="C435" s="118"/>
      <c r="D435" s="118"/>
      <c r="E435" s="118"/>
      <c r="F435" s="129">
        <f>F436</f>
        <v>40003</v>
      </c>
      <c r="G435" s="129">
        <f t="shared" ref="G435:G438" si="156">G436</f>
        <v>40003</v>
      </c>
      <c r="H435" s="129">
        <f t="shared" si="149"/>
        <v>100</v>
      </c>
    </row>
    <row r="436" spans="1:8" s="35" customFormat="1" ht="15" x14ac:dyDescent="0.2">
      <c r="A436" s="49" t="s">
        <v>379</v>
      </c>
      <c r="B436" s="22" t="s">
        <v>260</v>
      </c>
      <c r="C436" s="22" t="s">
        <v>474</v>
      </c>
      <c r="D436" s="22"/>
      <c r="E436" s="22"/>
      <c r="F436" s="38">
        <f>F437</f>
        <v>40003</v>
      </c>
      <c r="G436" s="38">
        <f t="shared" si="156"/>
        <v>40003</v>
      </c>
      <c r="H436" s="127">
        <f t="shared" si="149"/>
        <v>100</v>
      </c>
    </row>
    <row r="437" spans="1:8" s="35" customFormat="1" ht="15" x14ac:dyDescent="0.2">
      <c r="A437" s="49" t="s">
        <v>369</v>
      </c>
      <c r="B437" s="22" t="s">
        <v>260</v>
      </c>
      <c r="C437" s="22" t="s">
        <v>474</v>
      </c>
      <c r="D437" s="22" t="s">
        <v>76</v>
      </c>
      <c r="E437" s="22"/>
      <c r="F437" s="38">
        <f>F438</f>
        <v>40003</v>
      </c>
      <c r="G437" s="38">
        <f t="shared" si="156"/>
        <v>40003</v>
      </c>
      <c r="H437" s="127">
        <f t="shared" si="149"/>
        <v>100</v>
      </c>
    </row>
    <row r="438" spans="1:8" s="35" customFormat="1" ht="15" x14ac:dyDescent="0.2">
      <c r="A438" s="112" t="s">
        <v>104</v>
      </c>
      <c r="B438" s="113" t="s">
        <v>260</v>
      </c>
      <c r="C438" s="113" t="s">
        <v>474</v>
      </c>
      <c r="D438" s="113" t="s">
        <v>76</v>
      </c>
      <c r="E438" s="113" t="s">
        <v>391</v>
      </c>
      <c r="F438" s="128">
        <f>F439</f>
        <v>40003</v>
      </c>
      <c r="G438" s="128">
        <f t="shared" si="156"/>
        <v>40003</v>
      </c>
      <c r="H438" s="128">
        <f t="shared" si="149"/>
        <v>100</v>
      </c>
    </row>
    <row r="439" spans="1:8" s="35" customFormat="1" ht="15" x14ac:dyDescent="0.2">
      <c r="A439" s="112" t="s">
        <v>105</v>
      </c>
      <c r="B439" s="113" t="s">
        <v>260</v>
      </c>
      <c r="C439" s="113" t="s">
        <v>474</v>
      </c>
      <c r="D439" s="113" t="s">
        <v>76</v>
      </c>
      <c r="E439" s="113" t="s">
        <v>409</v>
      </c>
      <c r="F439" s="128">
        <f>38369+1634</f>
        <v>40003</v>
      </c>
      <c r="G439" s="128">
        <v>40003</v>
      </c>
      <c r="H439" s="128">
        <f t="shared" si="149"/>
        <v>100</v>
      </c>
    </row>
    <row r="440" spans="1:8" s="35" customFormat="1" ht="15" x14ac:dyDescent="0.2">
      <c r="A440" s="65" t="s">
        <v>708</v>
      </c>
      <c r="B440" s="22" t="s">
        <v>710</v>
      </c>
      <c r="C440" s="22"/>
      <c r="D440" s="22"/>
      <c r="E440" s="22"/>
      <c r="F440" s="127">
        <f>F441</f>
        <v>69.892470000000003</v>
      </c>
      <c r="G440" s="127">
        <f t="shared" ref="G440:G443" si="157">G441</f>
        <v>69.892470000000003</v>
      </c>
      <c r="H440" s="127">
        <f t="shared" si="149"/>
        <v>100</v>
      </c>
    </row>
    <row r="441" spans="1:8" s="35" customFormat="1" ht="15" x14ac:dyDescent="0.2">
      <c r="A441" s="49" t="s">
        <v>379</v>
      </c>
      <c r="B441" s="22" t="s">
        <v>710</v>
      </c>
      <c r="C441" s="22" t="s">
        <v>474</v>
      </c>
      <c r="D441" s="22"/>
      <c r="E441" s="22"/>
      <c r="F441" s="127">
        <f>F442</f>
        <v>69.892470000000003</v>
      </c>
      <c r="G441" s="127">
        <f t="shared" si="157"/>
        <v>69.892470000000003</v>
      </c>
      <c r="H441" s="127">
        <f t="shared" si="149"/>
        <v>100</v>
      </c>
    </row>
    <row r="442" spans="1:8" s="35" customFormat="1" ht="15" x14ac:dyDescent="0.2">
      <c r="A442" s="49" t="s">
        <v>369</v>
      </c>
      <c r="B442" s="22" t="s">
        <v>710</v>
      </c>
      <c r="C442" s="22" t="s">
        <v>474</v>
      </c>
      <c r="D442" s="22" t="s">
        <v>76</v>
      </c>
      <c r="E442" s="22"/>
      <c r="F442" s="127">
        <f>F443</f>
        <v>69.892470000000003</v>
      </c>
      <c r="G442" s="127">
        <f t="shared" si="157"/>
        <v>69.892470000000003</v>
      </c>
      <c r="H442" s="127">
        <f t="shared" si="149"/>
        <v>100</v>
      </c>
    </row>
    <row r="443" spans="1:8" s="35" customFormat="1" ht="15" x14ac:dyDescent="0.2">
      <c r="A443" s="68" t="s">
        <v>104</v>
      </c>
      <c r="B443" s="29" t="s">
        <v>710</v>
      </c>
      <c r="C443" s="29" t="s">
        <v>474</v>
      </c>
      <c r="D443" s="29" t="s">
        <v>76</v>
      </c>
      <c r="E443" s="29" t="s">
        <v>391</v>
      </c>
      <c r="F443" s="128">
        <f>F444</f>
        <v>69.892470000000003</v>
      </c>
      <c r="G443" s="128">
        <f t="shared" si="157"/>
        <v>69.892470000000003</v>
      </c>
      <c r="H443" s="128">
        <f t="shared" si="149"/>
        <v>100</v>
      </c>
    </row>
    <row r="444" spans="1:8" s="35" customFormat="1" ht="15" x14ac:dyDescent="0.2">
      <c r="A444" s="68" t="s">
        <v>105</v>
      </c>
      <c r="B444" s="29" t="s">
        <v>710</v>
      </c>
      <c r="C444" s="29" t="s">
        <v>474</v>
      </c>
      <c r="D444" s="29" t="s">
        <v>76</v>
      </c>
      <c r="E444" s="29" t="s">
        <v>409</v>
      </c>
      <c r="F444" s="128">
        <v>69.892470000000003</v>
      </c>
      <c r="G444" s="128">
        <v>69.892470000000003</v>
      </c>
      <c r="H444" s="128">
        <f t="shared" si="149"/>
        <v>100</v>
      </c>
    </row>
    <row r="445" spans="1:8" s="35" customFormat="1" ht="15" x14ac:dyDescent="0.2">
      <c r="A445" s="65" t="s">
        <v>711</v>
      </c>
      <c r="B445" s="22" t="s">
        <v>712</v>
      </c>
      <c r="C445" s="22"/>
      <c r="D445" s="22"/>
      <c r="E445" s="22"/>
      <c r="F445" s="127">
        <f>F446</f>
        <v>1</v>
      </c>
      <c r="G445" s="127">
        <f t="shared" ref="G445:G448" si="158">G446</f>
        <v>1</v>
      </c>
      <c r="H445" s="127">
        <f t="shared" si="149"/>
        <v>100</v>
      </c>
    </row>
    <row r="446" spans="1:8" s="35" customFormat="1" ht="15" x14ac:dyDescent="0.2">
      <c r="A446" s="49" t="s">
        <v>379</v>
      </c>
      <c r="B446" s="22" t="s">
        <v>712</v>
      </c>
      <c r="C446" s="22" t="s">
        <v>474</v>
      </c>
      <c r="D446" s="22"/>
      <c r="E446" s="23"/>
      <c r="F446" s="127">
        <f>F447</f>
        <v>1</v>
      </c>
      <c r="G446" s="127">
        <f t="shared" si="158"/>
        <v>1</v>
      </c>
      <c r="H446" s="127">
        <f t="shared" si="149"/>
        <v>100</v>
      </c>
    </row>
    <row r="447" spans="1:8" s="35" customFormat="1" ht="15" x14ac:dyDescent="0.2">
      <c r="A447" s="49" t="s">
        <v>369</v>
      </c>
      <c r="B447" s="22" t="s">
        <v>712</v>
      </c>
      <c r="C447" s="22" t="s">
        <v>474</v>
      </c>
      <c r="D447" s="22" t="s">
        <v>76</v>
      </c>
      <c r="E447" s="23"/>
      <c r="F447" s="127">
        <f>F448</f>
        <v>1</v>
      </c>
      <c r="G447" s="127">
        <f t="shared" si="158"/>
        <v>1</v>
      </c>
      <c r="H447" s="127">
        <f t="shared" si="149"/>
        <v>100</v>
      </c>
    </row>
    <row r="448" spans="1:8" s="35" customFormat="1" ht="15" x14ac:dyDescent="0.2">
      <c r="A448" s="68" t="s">
        <v>104</v>
      </c>
      <c r="B448" s="29" t="s">
        <v>712</v>
      </c>
      <c r="C448" s="29" t="s">
        <v>474</v>
      </c>
      <c r="D448" s="29" t="s">
        <v>76</v>
      </c>
      <c r="E448" s="29" t="s">
        <v>391</v>
      </c>
      <c r="F448" s="128">
        <f>F449</f>
        <v>1</v>
      </c>
      <c r="G448" s="128">
        <f t="shared" si="158"/>
        <v>1</v>
      </c>
      <c r="H448" s="128">
        <f t="shared" si="149"/>
        <v>100</v>
      </c>
    </row>
    <row r="449" spans="1:8" s="35" customFormat="1" ht="15" x14ac:dyDescent="0.2">
      <c r="A449" s="68" t="s">
        <v>105</v>
      </c>
      <c r="B449" s="29" t="s">
        <v>712</v>
      </c>
      <c r="C449" s="29" t="s">
        <v>474</v>
      </c>
      <c r="D449" s="29" t="s">
        <v>76</v>
      </c>
      <c r="E449" s="29" t="s">
        <v>409</v>
      </c>
      <c r="F449" s="128">
        <v>1</v>
      </c>
      <c r="G449" s="128">
        <v>1</v>
      </c>
      <c r="H449" s="128">
        <f t="shared" si="149"/>
        <v>100</v>
      </c>
    </row>
    <row r="450" spans="1:8" s="35" customFormat="1" ht="27" x14ac:dyDescent="0.2">
      <c r="A450" s="116" t="s">
        <v>262</v>
      </c>
      <c r="B450" s="107" t="s">
        <v>264</v>
      </c>
      <c r="C450" s="107"/>
      <c r="D450" s="107"/>
      <c r="E450" s="107"/>
      <c r="F450" s="108">
        <f>F451</f>
        <v>4025</v>
      </c>
      <c r="G450" s="108">
        <f t="shared" ref="G450:G451" si="159">G451</f>
        <v>3876.5733600000003</v>
      </c>
      <c r="H450" s="155">
        <f t="shared" si="149"/>
        <v>96.31238161490684</v>
      </c>
    </row>
    <row r="451" spans="1:8" s="35" customFormat="1" ht="24" x14ac:dyDescent="0.2">
      <c r="A451" s="103" t="s">
        <v>263</v>
      </c>
      <c r="B451" s="104" t="s">
        <v>264</v>
      </c>
      <c r="C451" s="104"/>
      <c r="D451" s="104"/>
      <c r="E451" s="104"/>
      <c r="F451" s="105">
        <f>F452</f>
        <v>4025</v>
      </c>
      <c r="G451" s="105">
        <f t="shared" si="159"/>
        <v>3876.5733600000003</v>
      </c>
      <c r="H451" s="127">
        <f t="shared" si="149"/>
        <v>96.31238161490684</v>
      </c>
    </row>
    <row r="452" spans="1:8" s="35" customFormat="1" ht="24" x14ac:dyDescent="0.2">
      <c r="A452" s="117" t="s">
        <v>393</v>
      </c>
      <c r="B452" s="132" t="s">
        <v>264</v>
      </c>
      <c r="C452" s="118"/>
      <c r="D452" s="118"/>
      <c r="E452" s="118"/>
      <c r="F452" s="137">
        <f>F453+F458</f>
        <v>4025</v>
      </c>
      <c r="G452" s="137">
        <f t="shared" ref="G452" si="160">G453+G458</f>
        <v>3876.5733600000003</v>
      </c>
      <c r="H452" s="204">
        <f t="shared" si="149"/>
        <v>96.31238161490684</v>
      </c>
    </row>
    <row r="453" spans="1:8" s="35" customFormat="1" ht="15" x14ac:dyDescent="0.2">
      <c r="A453" s="120" t="s">
        <v>375</v>
      </c>
      <c r="B453" s="104" t="s">
        <v>72</v>
      </c>
      <c r="C453" s="104"/>
      <c r="D453" s="104"/>
      <c r="E453" s="104"/>
      <c r="F453" s="105">
        <f>F454</f>
        <v>3819.5</v>
      </c>
      <c r="G453" s="105">
        <f t="shared" ref="G453:G456" si="161">G454</f>
        <v>3684.4801400000001</v>
      </c>
      <c r="H453" s="127">
        <f t="shared" si="149"/>
        <v>96.46498599293102</v>
      </c>
    </row>
    <row r="454" spans="1:8" s="35" customFormat="1" ht="15" x14ac:dyDescent="0.2">
      <c r="A454" s="49" t="s">
        <v>379</v>
      </c>
      <c r="B454" s="104" t="s">
        <v>72</v>
      </c>
      <c r="C454" s="104" t="s">
        <v>474</v>
      </c>
      <c r="D454" s="104"/>
      <c r="E454" s="104"/>
      <c r="F454" s="105">
        <f>F455</f>
        <v>3819.5</v>
      </c>
      <c r="G454" s="105">
        <f t="shared" si="161"/>
        <v>3684.4801400000001</v>
      </c>
      <c r="H454" s="127">
        <f t="shared" si="149"/>
        <v>96.46498599293102</v>
      </c>
    </row>
    <row r="455" spans="1:8" s="35" customFormat="1" ht="15" x14ac:dyDescent="0.2">
      <c r="A455" s="49" t="s">
        <v>453</v>
      </c>
      <c r="B455" s="104" t="s">
        <v>72</v>
      </c>
      <c r="C455" s="104" t="s">
        <v>474</v>
      </c>
      <c r="D455" s="104" t="s">
        <v>78</v>
      </c>
      <c r="E455" s="104"/>
      <c r="F455" s="105">
        <f>F456</f>
        <v>3819.5</v>
      </c>
      <c r="G455" s="105">
        <f t="shared" si="161"/>
        <v>3684.4801400000001</v>
      </c>
      <c r="H455" s="127">
        <f t="shared" si="149"/>
        <v>96.46498599293102</v>
      </c>
    </row>
    <row r="456" spans="1:8" s="35" customFormat="1" ht="36" x14ac:dyDescent="0.2">
      <c r="A456" s="112" t="s">
        <v>79</v>
      </c>
      <c r="B456" s="113" t="s">
        <v>72</v>
      </c>
      <c r="C456" s="113" t="s">
        <v>474</v>
      </c>
      <c r="D456" s="113" t="s">
        <v>78</v>
      </c>
      <c r="E456" s="113" t="s">
        <v>80</v>
      </c>
      <c r="F456" s="114">
        <f>F457</f>
        <v>3819.5</v>
      </c>
      <c r="G456" s="114">
        <f t="shared" si="161"/>
        <v>3684.4801400000001</v>
      </c>
      <c r="H456" s="128">
        <f t="shared" si="149"/>
        <v>96.46498599293102</v>
      </c>
    </row>
    <row r="457" spans="1:8" s="35" customFormat="1" ht="15" x14ac:dyDescent="0.2">
      <c r="A457" s="112" t="s">
        <v>81</v>
      </c>
      <c r="B457" s="113" t="s">
        <v>72</v>
      </c>
      <c r="C457" s="113" t="s">
        <v>474</v>
      </c>
      <c r="D457" s="113" t="s">
        <v>78</v>
      </c>
      <c r="E457" s="113" t="s">
        <v>82</v>
      </c>
      <c r="F457" s="114">
        <f>2870+20+860+69.5</f>
        <v>3819.5</v>
      </c>
      <c r="G457" s="114">
        <v>3684.4801400000001</v>
      </c>
      <c r="H457" s="128">
        <f t="shared" si="149"/>
        <v>96.46498599293102</v>
      </c>
    </row>
    <row r="458" spans="1:8" s="35" customFormat="1" ht="15" x14ac:dyDescent="0.2">
      <c r="A458" s="103" t="s">
        <v>83</v>
      </c>
      <c r="B458" s="104" t="s">
        <v>73</v>
      </c>
      <c r="C458" s="104"/>
      <c r="D458" s="104"/>
      <c r="E458" s="104"/>
      <c r="F458" s="105">
        <f>F459</f>
        <v>205.5</v>
      </c>
      <c r="G458" s="105">
        <f t="shared" ref="G458:G459" si="162">G459</f>
        <v>192.09322</v>
      </c>
      <c r="H458" s="127">
        <f t="shared" si="149"/>
        <v>93.476019464720196</v>
      </c>
    </row>
    <row r="459" spans="1:8" s="35" customFormat="1" ht="15" x14ac:dyDescent="0.2">
      <c r="A459" s="49" t="s">
        <v>379</v>
      </c>
      <c r="B459" s="104" t="s">
        <v>73</v>
      </c>
      <c r="C459" s="104" t="s">
        <v>474</v>
      </c>
      <c r="D459" s="104"/>
      <c r="E459" s="104"/>
      <c r="F459" s="105">
        <f>F460</f>
        <v>205.5</v>
      </c>
      <c r="G459" s="105">
        <f t="shared" si="162"/>
        <v>192.09322</v>
      </c>
      <c r="H459" s="127">
        <f t="shared" si="149"/>
        <v>93.476019464720196</v>
      </c>
    </row>
    <row r="460" spans="1:8" s="35" customFormat="1" ht="15" x14ac:dyDescent="0.2">
      <c r="A460" s="49" t="s">
        <v>453</v>
      </c>
      <c r="B460" s="104" t="s">
        <v>73</v>
      </c>
      <c r="C460" s="104" t="s">
        <v>474</v>
      </c>
      <c r="D460" s="104" t="s">
        <v>78</v>
      </c>
      <c r="E460" s="104"/>
      <c r="F460" s="105">
        <f>F461+F463</f>
        <v>205.5</v>
      </c>
      <c r="G460" s="105">
        <f t="shared" ref="G460" si="163">G461+G463</f>
        <v>192.09322</v>
      </c>
      <c r="H460" s="127">
        <f t="shared" si="149"/>
        <v>93.476019464720196</v>
      </c>
    </row>
    <row r="461" spans="1:8" s="35" customFormat="1" ht="15" x14ac:dyDescent="0.2">
      <c r="A461" s="112" t="s">
        <v>294</v>
      </c>
      <c r="B461" s="113" t="s">
        <v>73</v>
      </c>
      <c r="C461" s="113" t="s">
        <v>474</v>
      </c>
      <c r="D461" s="113" t="s">
        <v>78</v>
      </c>
      <c r="E461" s="113" t="s">
        <v>84</v>
      </c>
      <c r="F461" s="114">
        <f>F462</f>
        <v>203.5</v>
      </c>
      <c r="G461" s="114">
        <f t="shared" ref="G461" si="164">G462</f>
        <v>192.09322</v>
      </c>
      <c r="H461" s="128">
        <f t="shared" si="149"/>
        <v>94.394702702702702</v>
      </c>
    </row>
    <row r="462" spans="1:8" s="35" customFormat="1" ht="15" x14ac:dyDescent="0.2">
      <c r="A462" s="112" t="s">
        <v>85</v>
      </c>
      <c r="B462" s="113" t="s">
        <v>73</v>
      </c>
      <c r="C462" s="113" t="s">
        <v>474</v>
      </c>
      <c r="D462" s="113" t="s">
        <v>78</v>
      </c>
      <c r="E462" s="113" t="s">
        <v>86</v>
      </c>
      <c r="F462" s="114">
        <f>85+100+50-16-15.5</f>
        <v>203.5</v>
      </c>
      <c r="G462" s="114">
        <v>192.09322</v>
      </c>
      <c r="H462" s="128">
        <f t="shared" si="149"/>
        <v>94.394702702702702</v>
      </c>
    </row>
    <row r="463" spans="1:8" s="35" customFormat="1" ht="15" x14ac:dyDescent="0.2">
      <c r="A463" s="112" t="s">
        <v>87</v>
      </c>
      <c r="B463" s="113" t="s">
        <v>73</v>
      </c>
      <c r="C463" s="113" t="s">
        <v>474</v>
      </c>
      <c r="D463" s="113" t="s">
        <v>78</v>
      </c>
      <c r="E463" s="113" t="s">
        <v>88</v>
      </c>
      <c r="F463" s="114">
        <f>F464</f>
        <v>2</v>
      </c>
      <c r="G463" s="285">
        <f t="shared" ref="G463" si="165">G464</f>
        <v>0</v>
      </c>
      <c r="H463" s="284">
        <f t="shared" si="149"/>
        <v>0</v>
      </c>
    </row>
    <row r="464" spans="1:8" s="35" customFormat="1" ht="15" x14ac:dyDescent="0.2">
      <c r="A464" s="112" t="s">
        <v>500</v>
      </c>
      <c r="B464" s="113" t="s">
        <v>73</v>
      </c>
      <c r="C464" s="113" t="s">
        <v>474</v>
      </c>
      <c r="D464" s="113" t="s">
        <v>78</v>
      </c>
      <c r="E464" s="113" t="s">
        <v>89</v>
      </c>
      <c r="F464" s="114">
        <f>40-38</f>
        <v>2</v>
      </c>
      <c r="G464" s="285">
        <v>0</v>
      </c>
      <c r="H464" s="284">
        <f t="shared" si="149"/>
        <v>0</v>
      </c>
    </row>
    <row r="465" spans="1:8" s="35" customFormat="1" ht="40.5" x14ac:dyDescent="0.2">
      <c r="A465" s="184" t="s">
        <v>677</v>
      </c>
      <c r="B465" s="185" t="s">
        <v>237</v>
      </c>
      <c r="C465" s="185"/>
      <c r="D465" s="185"/>
      <c r="E465" s="185"/>
      <c r="F465" s="190">
        <f>F466+F482+F488+F501+F509+F525+F530</f>
        <v>317304.20971999998</v>
      </c>
      <c r="G465" s="190">
        <f t="shared" ref="G465" si="166">G466+G482+G488+G501+G509+G525+G530</f>
        <v>255640.80893</v>
      </c>
      <c r="H465" s="190">
        <f>G465/F465*100</f>
        <v>80.566472520357081</v>
      </c>
    </row>
    <row r="466" spans="1:8" s="35" customFormat="1" ht="15" x14ac:dyDescent="0.2">
      <c r="A466" s="117" t="s">
        <v>59</v>
      </c>
      <c r="B466" s="104" t="s">
        <v>239</v>
      </c>
      <c r="C466" s="104"/>
      <c r="D466" s="104"/>
      <c r="E466" s="104"/>
      <c r="F466" s="105">
        <f>F467+F472+F477</f>
        <v>10500</v>
      </c>
      <c r="G466" s="105">
        <f t="shared" ref="G466" si="167">G467+G472+G477</f>
        <v>7666.9549999999999</v>
      </c>
      <c r="H466" s="127">
        <f t="shared" si="149"/>
        <v>73.018619047619055</v>
      </c>
    </row>
    <row r="467" spans="1:8" s="35" customFormat="1" ht="15" x14ac:dyDescent="0.2">
      <c r="A467" s="103" t="s">
        <v>720</v>
      </c>
      <c r="B467" s="118" t="s">
        <v>632</v>
      </c>
      <c r="C467" s="118"/>
      <c r="D467" s="118"/>
      <c r="E467" s="118"/>
      <c r="F467" s="129">
        <f>F468</f>
        <v>5000</v>
      </c>
      <c r="G467" s="129">
        <f t="shared" ref="G467" si="168">G468</f>
        <v>4925.3090000000002</v>
      </c>
      <c r="H467" s="129">
        <f t="shared" si="149"/>
        <v>98.506180000000001</v>
      </c>
    </row>
    <row r="468" spans="1:8" s="35" customFormat="1" ht="15" x14ac:dyDescent="0.2">
      <c r="A468" s="49" t="s">
        <v>358</v>
      </c>
      <c r="B468" s="22" t="s">
        <v>632</v>
      </c>
      <c r="C468" s="22" t="s">
        <v>416</v>
      </c>
      <c r="D468" s="22"/>
      <c r="E468" s="22"/>
      <c r="F468" s="83">
        <f t="shared" ref="F468:G470" si="169">F469</f>
        <v>5000</v>
      </c>
      <c r="G468" s="83">
        <f t="shared" si="169"/>
        <v>4925.3090000000002</v>
      </c>
      <c r="H468" s="127">
        <f t="shared" si="149"/>
        <v>98.506180000000001</v>
      </c>
    </row>
    <row r="469" spans="1:8" s="35" customFormat="1" ht="15" x14ac:dyDescent="0.2">
      <c r="A469" s="49" t="s">
        <v>359</v>
      </c>
      <c r="B469" s="22" t="s">
        <v>632</v>
      </c>
      <c r="C469" s="22" t="s">
        <v>416</v>
      </c>
      <c r="D469" s="22" t="s">
        <v>76</v>
      </c>
      <c r="E469" s="22"/>
      <c r="F469" s="83">
        <f>F470</f>
        <v>5000</v>
      </c>
      <c r="G469" s="83">
        <f t="shared" si="169"/>
        <v>4925.3090000000002</v>
      </c>
      <c r="H469" s="127">
        <f t="shared" si="149"/>
        <v>98.506180000000001</v>
      </c>
    </row>
    <row r="470" spans="1:8" s="35" customFormat="1" ht="15" x14ac:dyDescent="0.2">
      <c r="A470" s="112" t="s">
        <v>294</v>
      </c>
      <c r="B470" s="113" t="s">
        <v>632</v>
      </c>
      <c r="C470" s="113" t="s">
        <v>416</v>
      </c>
      <c r="D470" s="113" t="s">
        <v>76</v>
      </c>
      <c r="E470" s="113" t="s">
        <v>84</v>
      </c>
      <c r="F470" s="128">
        <f>F471</f>
        <v>5000</v>
      </c>
      <c r="G470" s="128">
        <f t="shared" si="169"/>
        <v>4925.3090000000002</v>
      </c>
      <c r="H470" s="128">
        <f t="shared" si="149"/>
        <v>98.506180000000001</v>
      </c>
    </row>
    <row r="471" spans="1:8" s="35" customFormat="1" ht="15" x14ac:dyDescent="0.2">
      <c r="A471" s="112" t="s">
        <v>85</v>
      </c>
      <c r="B471" s="113" t="s">
        <v>632</v>
      </c>
      <c r="C471" s="113" t="s">
        <v>416</v>
      </c>
      <c r="D471" s="113" t="s">
        <v>76</v>
      </c>
      <c r="E471" s="113" t="s">
        <v>86</v>
      </c>
      <c r="F471" s="128">
        <v>5000</v>
      </c>
      <c r="G471" s="128">
        <v>4925.3090000000002</v>
      </c>
      <c r="H471" s="128">
        <f t="shared" si="149"/>
        <v>98.506180000000001</v>
      </c>
    </row>
    <row r="472" spans="1:8" s="35" customFormat="1" ht="15" x14ac:dyDescent="0.2">
      <c r="A472" s="103" t="s">
        <v>633</v>
      </c>
      <c r="B472" s="118" t="s">
        <v>634</v>
      </c>
      <c r="C472" s="118"/>
      <c r="D472" s="118"/>
      <c r="E472" s="118"/>
      <c r="F472" s="129">
        <f>F473</f>
        <v>1500</v>
      </c>
      <c r="G472" s="129">
        <f t="shared" ref="G472:G475" si="170">G473</f>
        <v>1480.2239999999999</v>
      </c>
      <c r="H472" s="129">
        <f t="shared" si="149"/>
        <v>98.681599999999989</v>
      </c>
    </row>
    <row r="473" spans="1:8" s="35" customFormat="1" ht="15" x14ac:dyDescent="0.2">
      <c r="A473" s="49" t="s">
        <v>358</v>
      </c>
      <c r="B473" s="22" t="s">
        <v>634</v>
      </c>
      <c r="C473" s="22" t="s">
        <v>416</v>
      </c>
      <c r="D473" s="22"/>
      <c r="E473" s="22"/>
      <c r="F473" s="83">
        <f>F474</f>
        <v>1500</v>
      </c>
      <c r="G473" s="83">
        <f t="shared" si="170"/>
        <v>1480.2239999999999</v>
      </c>
      <c r="H473" s="127">
        <f t="shared" si="149"/>
        <v>98.681599999999989</v>
      </c>
    </row>
    <row r="474" spans="1:8" s="35" customFormat="1" ht="15" x14ac:dyDescent="0.2">
      <c r="A474" s="49" t="s">
        <v>359</v>
      </c>
      <c r="B474" s="22" t="s">
        <v>634</v>
      </c>
      <c r="C474" s="22" t="s">
        <v>416</v>
      </c>
      <c r="D474" s="22" t="s">
        <v>76</v>
      </c>
      <c r="E474" s="22"/>
      <c r="F474" s="83">
        <f>F475</f>
        <v>1500</v>
      </c>
      <c r="G474" s="83">
        <f t="shared" si="170"/>
        <v>1480.2239999999999</v>
      </c>
      <c r="H474" s="127">
        <f t="shared" ref="H474:H537" si="171">G474/F474*100</f>
        <v>98.681599999999989</v>
      </c>
    </row>
    <row r="475" spans="1:8" s="35" customFormat="1" ht="15" x14ac:dyDescent="0.2">
      <c r="A475" s="112" t="s">
        <v>294</v>
      </c>
      <c r="B475" s="113" t="s">
        <v>634</v>
      </c>
      <c r="C475" s="113" t="s">
        <v>416</v>
      </c>
      <c r="D475" s="113" t="s">
        <v>76</v>
      </c>
      <c r="E475" s="113" t="s">
        <v>84</v>
      </c>
      <c r="F475" s="128">
        <f>F476</f>
        <v>1500</v>
      </c>
      <c r="G475" s="128">
        <f t="shared" si="170"/>
        <v>1480.2239999999999</v>
      </c>
      <c r="H475" s="128">
        <f t="shared" si="171"/>
        <v>98.681599999999989</v>
      </c>
    </row>
    <row r="476" spans="1:8" s="35" customFormat="1" ht="13.5" customHeight="1" x14ac:dyDescent="0.2">
      <c r="A476" s="112" t="s">
        <v>85</v>
      </c>
      <c r="B476" s="113" t="s">
        <v>634</v>
      </c>
      <c r="C476" s="113" t="s">
        <v>416</v>
      </c>
      <c r="D476" s="113" t="s">
        <v>76</v>
      </c>
      <c r="E476" s="113" t="s">
        <v>86</v>
      </c>
      <c r="F476" s="128">
        <f>500+1000</f>
        <v>1500</v>
      </c>
      <c r="G476" s="128">
        <v>1480.2239999999999</v>
      </c>
      <c r="H476" s="128">
        <f t="shared" si="171"/>
        <v>98.681599999999989</v>
      </c>
    </row>
    <row r="477" spans="1:8" s="35" customFormat="1" ht="15" customHeight="1" x14ac:dyDescent="0.2">
      <c r="A477" s="103" t="s">
        <v>240</v>
      </c>
      <c r="B477" s="118" t="s">
        <v>635</v>
      </c>
      <c r="C477" s="118"/>
      <c r="D477" s="118"/>
      <c r="E477" s="118"/>
      <c r="F477" s="129">
        <f>F478</f>
        <v>4000</v>
      </c>
      <c r="G477" s="129">
        <f t="shared" ref="G477:G480" si="172">G478</f>
        <v>1261.422</v>
      </c>
      <c r="H477" s="129">
        <f t="shared" si="171"/>
        <v>31.535550000000001</v>
      </c>
    </row>
    <row r="478" spans="1:8" s="35" customFormat="1" ht="14.25" customHeight="1" x14ac:dyDescent="0.2">
      <c r="A478" s="49" t="s">
        <v>358</v>
      </c>
      <c r="B478" s="22" t="s">
        <v>635</v>
      </c>
      <c r="C478" s="22" t="s">
        <v>416</v>
      </c>
      <c r="D478" s="22"/>
      <c r="E478" s="22"/>
      <c r="F478" s="83">
        <f>F479</f>
        <v>4000</v>
      </c>
      <c r="G478" s="83">
        <f t="shared" si="172"/>
        <v>1261.422</v>
      </c>
      <c r="H478" s="127">
        <f t="shared" si="171"/>
        <v>31.535550000000001</v>
      </c>
    </row>
    <row r="479" spans="1:8" s="35" customFormat="1" ht="14.25" customHeight="1" x14ac:dyDescent="0.2">
      <c r="A479" s="49" t="s">
        <v>359</v>
      </c>
      <c r="B479" s="22" t="s">
        <v>635</v>
      </c>
      <c r="C479" s="22" t="s">
        <v>416</v>
      </c>
      <c r="D479" s="22" t="s">
        <v>76</v>
      </c>
      <c r="E479" s="22"/>
      <c r="F479" s="83">
        <f>F480</f>
        <v>4000</v>
      </c>
      <c r="G479" s="83">
        <f t="shared" si="172"/>
        <v>1261.422</v>
      </c>
      <c r="H479" s="127">
        <f t="shared" si="171"/>
        <v>31.535550000000001</v>
      </c>
    </row>
    <row r="480" spans="1:8" s="35" customFormat="1" ht="15" x14ac:dyDescent="0.2">
      <c r="A480" s="112" t="s">
        <v>294</v>
      </c>
      <c r="B480" s="113" t="s">
        <v>635</v>
      </c>
      <c r="C480" s="113" t="s">
        <v>416</v>
      </c>
      <c r="D480" s="113" t="s">
        <v>76</v>
      </c>
      <c r="E480" s="113" t="s">
        <v>84</v>
      </c>
      <c r="F480" s="128">
        <f>F481</f>
        <v>4000</v>
      </c>
      <c r="G480" s="128">
        <f t="shared" si="172"/>
        <v>1261.422</v>
      </c>
      <c r="H480" s="128">
        <f t="shared" si="171"/>
        <v>31.535550000000001</v>
      </c>
    </row>
    <row r="481" spans="1:8" s="35" customFormat="1" ht="15" x14ac:dyDescent="0.2">
      <c r="A481" s="112" t="s">
        <v>85</v>
      </c>
      <c r="B481" s="113" t="s">
        <v>635</v>
      </c>
      <c r="C481" s="113" t="s">
        <v>416</v>
      </c>
      <c r="D481" s="113" t="s">
        <v>76</v>
      </c>
      <c r="E481" s="113" t="s">
        <v>86</v>
      </c>
      <c r="F481" s="128">
        <v>4000</v>
      </c>
      <c r="G481" s="128">
        <v>1261.422</v>
      </c>
      <c r="H481" s="128">
        <f t="shared" si="171"/>
        <v>31.535550000000001</v>
      </c>
    </row>
    <row r="482" spans="1:8" s="35" customFormat="1" ht="15" x14ac:dyDescent="0.2">
      <c r="A482" s="117" t="s">
        <v>629</v>
      </c>
      <c r="B482" s="118" t="s">
        <v>238</v>
      </c>
      <c r="C482" s="118"/>
      <c r="D482" s="118"/>
      <c r="E482" s="118"/>
      <c r="F482" s="119">
        <f>F483</f>
        <v>3530</v>
      </c>
      <c r="G482" s="119">
        <f t="shared" ref="G482:G486" si="173">G483</f>
        <v>2495.502</v>
      </c>
      <c r="H482" s="129">
        <f t="shared" si="171"/>
        <v>70.694107648725208</v>
      </c>
    </row>
    <row r="483" spans="1:8" s="35" customFormat="1" ht="15" x14ac:dyDescent="0.2">
      <c r="A483" s="180" t="s">
        <v>630</v>
      </c>
      <c r="B483" s="179" t="s">
        <v>631</v>
      </c>
      <c r="C483" s="104"/>
      <c r="D483" s="104"/>
      <c r="E483" s="104"/>
      <c r="F483" s="105">
        <f>F484</f>
        <v>3530</v>
      </c>
      <c r="G483" s="105">
        <f t="shared" si="173"/>
        <v>2495.502</v>
      </c>
      <c r="H483" s="127">
        <f t="shared" si="171"/>
        <v>70.694107648725208</v>
      </c>
    </row>
    <row r="484" spans="1:8" s="35" customFormat="1" ht="15" x14ac:dyDescent="0.2">
      <c r="A484" s="49" t="s">
        <v>353</v>
      </c>
      <c r="B484" s="179" t="s">
        <v>631</v>
      </c>
      <c r="C484" s="22" t="s">
        <v>78</v>
      </c>
      <c r="D484" s="22"/>
      <c r="E484" s="29"/>
      <c r="F484" s="38">
        <f>F485</f>
        <v>3530</v>
      </c>
      <c r="G484" s="38">
        <f t="shared" si="173"/>
        <v>2495.502</v>
      </c>
      <c r="H484" s="127">
        <f t="shared" si="171"/>
        <v>70.694107648725208</v>
      </c>
    </row>
    <row r="485" spans="1:8" s="35" customFormat="1" ht="15" x14ac:dyDescent="0.2">
      <c r="A485" s="49" t="s">
        <v>388</v>
      </c>
      <c r="B485" s="179" t="s">
        <v>631</v>
      </c>
      <c r="C485" s="22" t="s">
        <v>78</v>
      </c>
      <c r="D485" s="22" t="s">
        <v>475</v>
      </c>
      <c r="E485" s="29"/>
      <c r="F485" s="38">
        <f>F486</f>
        <v>3530</v>
      </c>
      <c r="G485" s="38">
        <f t="shared" si="173"/>
        <v>2495.502</v>
      </c>
      <c r="H485" s="127">
        <f t="shared" si="171"/>
        <v>70.694107648725208</v>
      </c>
    </row>
    <row r="486" spans="1:8" s="35" customFormat="1" ht="15" x14ac:dyDescent="0.2">
      <c r="A486" s="112" t="s">
        <v>294</v>
      </c>
      <c r="B486" s="113" t="s">
        <v>631</v>
      </c>
      <c r="C486" s="113" t="s">
        <v>78</v>
      </c>
      <c r="D486" s="113" t="s">
        <v>475</v>
      </c>
      <c r="E486" s="113" t="s">
        <v>84</v>
      </c>
      <c r="F486" s="114">
        <f>F487</f>
        <v>3530</v>
      </c>
      <c r="G486" s="114">
        <f t="shared" si="173"/>
        <v>2495.502</v>
      </c>
      <c r="H486" s="128">
        <f t="shared" si="171"/>
        <v>70.694107648725208</v>
      </c>
    </row>
    <row r="487" spans="1:8" s="35" customFormat="1" ht="15" x14ac:dyDescent="0.2">
      <c r="A487" s="112" t="s">
        <v>85</v>
      </c>
      <c r="B487" s="113" t="s">
        <v>631</v>
      </c>
      <c r="C487" s="113" t="s">
        <v>78</v>
      </c>
      <c r="D487" s="113" t="s">
        <v>475</v>
      </c>
      <c r="E487" s="113" t="s">
        <v>86</v>
      </c>
      <c r="F487" s="114">
        <f>5000-370-1100</f>
        <v>3530</v>
      </c>
      <c r="G487" s="114">
        <v>2495.502</v>
      </c>
      <c r="H487" s="128">
        <f t="shared" si="171"/>
        <v>70.694107648725208</v>
      </c>
    </row>
    <row r="488" spans="1:8" s="35" customFormat="1" ht="24" x14ac:dyDescent="0.2">
      <c r="A488" s="117" t="s">
        <v>125</v>
      </c>
      <c r="B488" s="118" t="s">
        <v>242</v>
      </c>
      <c r="C488" s="118"/>
      <c r="D488" s="118"/>
      <c r="E488" s="118"/>
      <c r="F488" s="119">
        <f>F489+F496</f>
        <v>16100</v>
      </c>
      <c r="G488" s="119">
        <f t="shared" ref="G488" si="174">G489+G496</f>
        <v>15477.551030000001</v>
      </c>
      <c r="H488" s="129">
        <f t="shared" si="171"/>
        <v>96.133857329192551</v>
      </c>
    </row>
    <row r="489" spans="1:8" s="35" customFormat="1" ht="15" x14ac:dyDescent="0.2">
      <c r="A489" s="103" t="s">
        <v>636</v>
      </c>
      <c r="B489" s="104" t="s">
        <v>637</v>
      </c>
      <c r="C489" s="104"/>
      <c r="D489" s="104"/>
      <c r="E489" s="113"/>
      <c r="F489" s="127">
        <f>F490</f>
        <v>14100</v>
      </c>
      <c r="G489" s="127">
        <f t="shared" ref="G489:G490" si="175">G490</f>
        <v>13648.271130000001</v>
      </c>
      <c r="H489" s="127">
        <f t="shared" si="171"/>
        <v>96.79624914893617</v>
      </c>
    </row>
    <row r="490" spans="1:8" s="35" customFormat="1" ht="15" x14ac:dyDescent="0.2">
      <c r="A490" s="49" t="s">
        <v>358</v>
      </c>
      <c r="B490" s="104" t="s">
        <v>637</v>
      </c>
      <c r="C490" s="22" t="s">
        <v>416</v>
      </c>
      <c r="D490" s="29"/>
      <c r="E490" s="29"/>
      <c r="F490" s="83">
        <f>F491</f>
        <v>14100</v>
      </c>
      <c r="G490" s="83">
        <f t="shared" si="175"/>
        <v>13648.271130000001</v>
      </c>
      <c r="H490" s="127">
        <f t="shared" si="171"/>
        <v>96.79624914893617</v>
      </c>
    </row>
    <row r="491" spans="1:8" s="35" customFormat="1" ht="15" x14ac:dyDescent="0.2">
      <c r="A491" s="49" t="s">
        <v>360</v>
      </c>
      <c r="B491" s="104" t="s">
        <v>637</v>
      </c>
      <c r="C491" s="22" t="s">
        <v>416</v>
      </c>
      <c r="D491" s="22" t="s">
        <v>477</v>
      </c>
      <c r="E491" s="29"/>
      <c r="F491" s="83">
        <f>F492+F494</f>
        <v>14100</v>
      </c>
      <c r="G491" s="83">
        <f t="shared" ref="G491" si="176">G492+G494</f>
        <v>13648.271130000001</v>
      </c>
      <c r="H491" s="127">
        <f t="shared" si="171"/>
        <v>96.79624914893617</v>
      </c>
    </row>
    <row r="492" spans="1:8" s="35" customFormat="1" ht="15" x14ac:dyDescent="0.2">
      <c r="A492" s="112" t="s">
        <v>294</v>
      </c>
      <c r="B492" s="113" t="s">
        <v>637</v>
      </c>
      <c r="C492" s="131" t="s">
        <v>416</v>
      </c>
      <c r="D492" s="131" t="s">
        <v>477</v>
      </c>
      <c r="E492" s="113" t="s">
        <v>84</v>
      </c>
      <c r="F492" s="84">
        <f>F493</f>
        <v>3760</v>
      </c>
      <c r="G492" s="84">
        <f t="shared" ref="G492" si="177">G493</f>
        <v>3574.0135300000002</v>
      </c>
      <c r="H492" s="128">
        <f t="shared" si="171"/>
        <v>95.05355132978724</v>
      </c>
    </row>
    <row r="493" spans="1:8" s="35" customFormat="1" ht="15" x14ac:dyDescent="0.2">
      <c r="A493" s="112" t="s">
        <v>85</v>
      </c>
      <c r="B493" s="113" t="s">
        <v>637</v>
      </c>
      <c r="C493" s="113" t="s">
        <v>416</v>
      </c>
      <c r="D493" s="113" t="s">
        <v>477</v>
      </c>
      <c r="E493" s="113" t="s">
        <v>86</v>
      </c>
      <c r="F493" s="84">
        <v>3760</v>
      </c>
      <c r="G493" s="84">
        <v>3574.0135300000002</v>
      </c>
      <c r="H493" s="128">
        <f t="shared" si="171"/>
        <v>95.05355132978724</v>
      </c>
    </row>
    <row r="494" spans="1:8" s="35" customFormat="1" ht="24" x14ac:dyDescent="0.2">
      <c r="A494" s="112" t="s">
        <v>417</v>
      </c>
      <c r="B494" s="113" t="s">
        <v>637</v>
      </c>
      <c r="C494" s="131" t="s">
        <v>416</v>
      </c>
      <c r="D494" s="131" t="s">
        <v>477</v>
      </c>
      <c r="E494" s="113" t="s">
        <v>418</v>
      </c>
      <c r="F494" s="128">
        <f>F495</f>
        <v>10340</v>
      </c>
      <c r="G494" s="128">
        <f t="shared" ref="G494" si="178">G495</f>
        <v>10074.257600000001</v>
      </c>
      <c r="H494" s="128">
        <f t="shared" si="171"/>
        <v>97.42995744680853</v>
      </c>
    </row>
    <row r="495" spans="1:8" s="35" customFormat="1" ht="15" x14ac:dyDescent="0.2">
      <c r="A495" s="112" t="s">
        <v>419</v>
      </c>
      <c r="B495" s="113" t="s">
        <v>637</v>
      </c>
      <c r="C495" s="113" t="s">
        <v>416</v>
      </c>
      <c r="D495" s="113" t="s">
        <v>477</v>
      </c>
      <c r="E495" s="113" t="s">
        <v>420</v>
      </c>
      <c r="F495" s="128">
        <f>14100-3760</f>
        <v>10340</v>
      </c>
      <c r="G495" s="128">
        <v>10074.257600000001</v>
      </c>
      <c r="H495" s="128">
        <f t="shared" si="171"/>
        <v>97.42995744680853</v>
      </c>
    </row>
    <row r="496" spans="1:8" s="35" customFormat="1" ht="15" x14ac:dyDescent="0.2">
      <c r="A496" s="103" t="s">
        <v>673</v>
      </c>
      <c r="B496" s="104" t="s">
        <v>638</v>
      </c>
      <c r="C496" s="104"/>
      <c r="D496" s="104"/>
      <c r="E496" s="104"/>
      <c r="F496" s="127">
        <f>F497</f>
        <v>2000</v>
      </c>
      <c r="G496" s="127">
        <f t="shared" ref="G496:G499" si="179">G497</f>
        <v>1829.2799</v>
      </c>
      <c r="H496" s="127">
        <f t="shared" si="171"/>
        <v>91.463994999999997</v>
      </c>
    </row>
    <row r="497" spans="1:8" s="35" customFormat="1" ht="15" x14ac:dyDescent="0.2">
      <c r="A497" s="49" t="s">
        <v>358</v>
      </c>
      <c r="B497" s="104" t="s">
        <v>638</v>
      </c>
      <c r="C497" s="22" t="s">
        <v>416</v>
      </c>
      <c r="D497" s="29"/>
      <c r="E497" s="29"/>
      <c r="F497" s="83">
        <f>F498</f>
        <v>2000</v>
      </c>
      <c r="G497" s="83">
        <f t="shared" si="179"/>
        <v>1829.2799</v>
      </c>
      <c r="H497" s="127">
        <f t="shared" si="171"/>
        <v>91.463994999999997</v>
      </c>
    </row>
    <row r="498" spans="1:8" s="35" customFormat="1" ht="15" x14ac:dyDescent="0.2">
      <c r="A498" s="49" t="s">
        <v>360</v>
      </c>
      <c r="B498" s="104" t="s">
        <v>638</v>
      </c>
      <c r="C498" s="22" t="s">
        <v>416</v>
      </c>
      <c r="D498" s="22" t="s">
        <v>477</v>
      </c>
      <c r="E498" s="29"/>
      <c r="F498" s="83">
        <f>F499</f>
        <v>2000</v>
      </c>
      <c r="G498" s="83">
        <f t="shared" si="179"/>
        <v>1829.2799</v>
      </c>
      <c r="H498" s="127">
        <f t="shared" si="171"/>
        <v>91.463994999999997</v>
      </c>
    </row>
    <row r="499" spans="1:8" s="35" customFormat="1" ht="15" x14ac:dyDescent="0.2">
      <c r="A499" s="112" t="s">
        <v>294</v>
      </c>
      <c r="B499" s="113" t="s">
        <v>638</v>
      </c>
      <c r="C499" s="113" t="s">
        <v>416</v>
      </c>
      <c r="D499" s="113" t="s">
        <v>477</v>
      </c>
      <c r="E499" s="113" t="s">
        <v>84</v>
      </c>
      <c r="F499" s="128">
        <f>F500</f>
        <v>2000</v>
      </c>
      <c r="G499" s="128">
        <f t="shared" si="179"/>
        <v>1829.2799</v>
      </c>
      <c r="H499" s="128">
        <f t="shared" si="171"/>
        <v>91.463994999999997</v>
      </c>
    </row>
    <row r="500" spans="1:8" s="35" customFormat="1" ht="15" x14ac:dyDescent="0.2">
      <c r="A500" s="112" t="s">
        <v>85</v>
      </c>
      <c r="B500" s="113" t="s">
        <v>638</v>
      </c>
      <c r="C500" s="113" t="s">
        <v>416</v>
      </c>
      <c r="D500" s="113" t="s">
        <v>477</v>
      </c>
      <c r="E500" s="113" t="s">
        <v>86</v>
      </c>
      <c r="F500" s="128">
        <f>1000+1000</f>
        <v>2000</v>
      </c>
      <c r="G500" s="128">
        <v>1829.2799</v>
      </c>
      <c r="H500" s="128">
        <f t="shared" si="171"/>
        <v>91.463994999999997</v>
      </c>
    </row>
    <row r="501" spans="1:8" s="35" customFormat="1" ht="24" x14ac:dyDescent="0.2">
      <c r="A501" s="117" t="s">
        <v>627</v>
      </c>
      <c r="B501" s="118" t="s">
        <v>151</v>
      </c>
      <c r="C501" s="118"/>
      <c r="D501" s="118"/>
      <c r="E501" s="118"/>
      <c r="F501" s="119">
        <f>F502</f>
        <v>59930</v>
      </c>
      <c r="G501" s="119">
        <f t="shared" ref="G501:G503" si="180">G502</f>
        <v>26804.388849999999</v>
      </c>
      <c r="H501" s="129">
        <f t="shared" si="171"/>
        <v>44.726161938928747</v>
      </c>
    </row>
    <row r="502" spans="1:8" s="35" customFormat="1" ht="24" x14ac:dyDescent="0.2">
      <c r="A502" s="103" t="s">
        <v>628</v>
      </c>
      <c r="B502" s="104" t="s">
        <v>639</v>
      </c>
      <c r="C502" s="104"/>
      <c r="D502" s="104"/>
      <c r="E502" s="113"/>
      <c r="F502" s="105">
        <f>F503</f>
        <v>59930</v>
      </c>
      <c r="G502" s="105">
        <f t="shared" si="180"/>
        <v>26804.388849999999</v>
      </c>
      <c r="H502" s="127">
        <f t="shared" si="171"/>
        <v>44.726161938928747</v>
      </c>
    </row>
    <row r="503" spans="1:8" s="35" customFormat="1" ht="15" x14ac:dyDescent="0.2">
      <c r="A503" s="49" t="s">
        <v>358</v>
      </c>
      <c r="B503" s="104" t="s">
        <v>639</v>
      </c>
      <c r="C503" s="22" t="s">
        <v>416</v>
      </c>
      <c r="D503" s="29"/>
      <c r="E503" s="113"/>
      <c r="F503" s="105">
        <f>F504</f>
        <v>59930</v>
      </c>
      <c r="G503" s="105">
        <f t="shared" si="180"/>
        <v>26804.388849999999</v>
      </c>
      <c r="H503" s="127">
        <f t="shared" si="171"/>
        <v>44.726161938928747</v>
      </c>
    </row>
    <row r="504" spans="1:8" s="35" customFormat="1" ht="15" x14ac:dyDescent="0.2">
      <c r="A504" s="49" t="s">
        <v>360</v>
      </c>
      <c r="B504" s="104" t="s">
        <v>639</v>
      </c>
      <c r="C504" s="22" t="s">
        <v>416</v>
      </c>
      <c r="D504" s="22" t="s">
        <v>477</v>
      </c>
      <c r="E504" s="113"/>
      <c r="F504" s="105">
        <f>F505+F507</f>
        <v>59930</v>
      </c>
      <c r="G504" s="105">
        <f t="shared" ref="G504" si="181">G505+G507</f>
        <v>26804.388849999999</v>
      </c>
      <c r="H504" s="127">
        <f t="shared" si="171"/>
        <v>44.726161938928747</v>
      </c>
    </row>
    <row r="505" spans="1:8" s="35" customFormat="1" ht="15" x14ac:dyDescent="0.2">
      <c r="A505" s="112" t="s">
        <v>294</v>
      </c>
      <c r="B505" s="113" t="s">
        <v>639</v>
      </c>
      <c r="C505" s="113" t="s">
        <v>416</v>
      </c>
      <c r="D505" s="113" t="s">
        <v>477</v>
      </c>
      <c r="E505" s="113" t="s">
        <v>84</v>
      </c>
      <c r="F505" s="114">
        <f>F506</f>
        <v>40300</v>
      </c>
      <c r="G505" s="114">
        <f t="shared" ref="G505" si="182">G506</f>
        <v>25813.099330000001</v>
      </c>
      <c r="H505" s="128">
        <f t="shared" si="171"/>
        <v>64.052355657568242</v>
      </c>
    </row>
    <row r="506" spans="1:8" s="35" customFormat="1" ht="15" x14ac:dyDescent="0.2">
      <c r="A506" s="112" t="s">
        <v>85</v>
      </c>
      <c r="B506" s="113" t="s">
        <v>639</v>
      </c>
      <c r="C506" s="113" t="s">
        <v>416</v>
      </c>
      <c r="D506" s="113" t="s">
        <v>477</v>
      </c>
      <c r="E506" s="113" t="s">
        <v>86</v>
      </c>
      <c r="F506" s="114">
        <f>2000+21000+1000+100+1000+5500+9700</f>
        <v>40300</v>
      </c>
      <c r="G506" s="114">
        <v>25813.099330000001</v>
      </c>
      <c r="H506" s="128">
        <f t="shared" si="171"/>
        <v>64.052355657568242</v>
      </c>
    </row>
    <row r="507" spans="1:8" s="35" customFormat="1" ht="24" x14ac:dyDescent="0.2">
      <c r="A507" s="112" t="s">
        <v>417</v>
      </c>
      <c r="B507" s="113" t="s">
        <v>639</v>
      </c>
      <c r="C507" s="131" t="s">
        <v>416</v>
      </c>
      <c r="D507" s="131" t="s">
        <v>477</v>
      </c>
      <c r="E507" s="113" t="s">
        <v>418</v>
      </c>
      <c r="F507" s="114">
        <f>F508</f>
        <v>19630</v>
      </c>
      <c r="G507" s="114">
        <f t="shared" ref="G507" si="183">G508</f>
        <v>991.28952000000004</v>
      </c>
      <c r="H507" s="128">
        <f t="shared" si="171"/>
        <v>5.0498701986754968</v>
      </c>
    </row>
    <row r="508" spans="1:8" s="35" customFormat="1" ht="15" x14ac:dyDescent="0.2">
      <c r="A508" s="112" t="s">
        <v>419</v>
      </c>
      <c r="B508" s="113" t="s">
        <v>639</v>
      </c>
      <c r="C508" s="113" t="s">
        <v>416</v>
      </c>
      <c r="D508" s="113" t="s">
        <v>477</v>
      </c>
      <c r="E508" s="113" t="s">
        <v>420</v>
      </c>
      <c r="F508" s="114">
        <f>44930-1000-5500-9700-9100</f>
        <v>19630</v>
      </c>
      <c r="G508" s="114">
        <v>991.28952000000004</v>
      </c>
      <c r="H508" s="128">
        <f t="shared" si="171"/>
        <v>5.0498701986754968</v>
      </c>
    </row>
    <row r="509" spans="1:8" s="35" customFormat="1" ht="15" x14ac:dyDescent="0.2">
      <c r="A509" s="117" t="s">
        <v>490</v>
      </c>
      <c r="B509" s="118" t="s">
        <v>491</v>
      </c>
      <c r="C509" s="118"/>
      <c r="D509" s="118"/>
      <c r="E509" s="118"/>
      <c r="F509" s="119">
        <f>F510+F515+F520</f>
        <v>17400</v>
      </c>
      <c r="G509" s="119">
        <f t="shared" ref="G509" si="184">G510+G515+G520</f>
        <v>16083.200999999999</v>
      </c>
      <c r="H509" s="127">
        <f t="shared" si="171"/>
        <v>92.432189655172408</v>
      </c>
    </row>
    <row r="510" spans="1:8" s="35" customFormat="1" ht="24" x14ac:dyDescent="0.2">
      <c r="A510" s="103" t="s">
        <v>640</v>
      </c>
      <c r="B510" s="104" t="s">
        <v>641</v>
      </c>
      <c r="C510" s="104"/>
      <c r="D510" s="104"/>
      <c r="E510" s="104"/>
      <c r="F510" s="105">
        <f>F511</f>
        <v>700</v>
      </c>
      <c r="G510" s="287">
        <f t="shared" ref="G510:G513" si="185">G511</f>
        <v>0</v>
      </c>
      <c r="H510" s="127">
        <f t="shared" si="171"/>
        <v>0</v>
      </c>
    </row>
    <row r="511" spans="1:8" s="35" customFormat="1" ht="15" x14ac:dyDescent="0.2">
      <c r="A511" s="49" t="s">
        <v>358</v>
      </c>
      <c r="B511" s="104" t="s">
        <v>641</v>
      </c>
      <c r="C511" s="22" t="s">
        <v>416</v>
      </c>
      <c r="D511" s="22"/>
      <c r="E511" s="104"/>
      <c r="F511" s="105">
        <f>F512</f>
        <v>700</v>
      </c>
      <c r="G511" s="287">
        <f t="shared" si="185"/>
        <v>0</v>
      </c>
      <c r="H511" s="127">
        <f t="shared" si="171"/>
        <v>0</v>
      </c>
    </row>
    <row r="512" spans="1:8" s="35" customFormat="1" ht="15" x14ac:dyDescent="0.2">
      <c r="A512" s="49" t="s">
        <v>359</v>
      </c>
      <c r="B512" s="104" t="s">
        <v>641</v>
      </c>
      <c r="C512" s="22" t="s">
        <v>416</v>
      </c>
      <c r="D512" s="22" t="s">
        <v>76</v>
      </c>
      <c r="E512" s="104"/>
      <c r="F512" s="105">
        <f>F513</f>
        <v>700</v>
      </c>
      <c r="G512" s="287">
        <f t="shared" si="185"/>
        <v>0</v>
      </c>
      <c r="H512" s="127">
        <f t="shared" si="171"/>
        <v>0</v>
      </c>
    </row>
    <row r="513" spans="1:8" s="35" customFormat="1" ht="15" x14ac:dyDescent="0.2">
      <c r="A513" s="112" t="s">
        <v>294</v>
      </c>
      <c r="B513" s="113" t="s">
        <v>641</v>
      </c>
      <c r="C513" s="113" t="s">
        <v>416</v>
      </c>
      <c r="D513" s="113" t="s">
        <v>76</v>
      </c>
      <c r="E513" s="113" t="s">
        <v>84</v>
      </c>
      <c r="F513" s="114">
        <f>F514</f>
        <v>700</v>
      </c>
      <c r="G513" s="212">
        <f t="shared" si="185"/>
        <v>0</v>
      </c>
      <c r="H513" s="127">
        <f t="shared" si="171"/>
        <v>0</v>
      </c>
    </row>
    <row r="514" spans="1:8" s="35" customFormat="1" ht="15" x14ac:dyDescent="0.2">
      <c r="A514" s="112" t="s">
        <v>85</v>
      </c>
      <c r="B514" s="113" t="s">
        <v>641</v>
      </c>
      <c r="C514" s="113" t="s">
        <v>416</v>
      </c>
      <c r="D514" s="113" t="s">
        <v>76</v>
      </c>
      <c r="E514" s="113" t="s">
        <v>86</v>
      </c>
      <c r="F514" s="114">
        <f>1000-300</f>
        <v>700</v>
      </c>
      <c r="G514" s="212">
        <v>0</v>
      </c>
      <c r="H514" s="127">
        <f t="shared" si="171"/>
        <v>0</v>
      </c>
    </row>
    <row r="515" spans="1:8" s="35" customFormat="1" ht="24" x14ac:dyDescent="0.2">
      <c r="A515" s="181" t="s">
        <v>492</v>
      </c>
      <c r="B515" s="104" t="s">
        <v>642</v>
      </c>
      <c r="C515" s="104"/>
      <c r="D515" s="104"/>
      <c r="E515" s="104"/>
      <c r="F515" s="105">
        <f>F516</f>
        <v>600</v>
      </c>
      <c r="G515" s="105">
        <f t="shared" ref="G515:G518" si="186">G516</f>
        <v>238</v>
      </c>
      <c r="H515" s="127">
        <f t="shared" si="171"/>
        <v>39.666666666666664</v>
      </c>
    </row>
    <row r="516" spans="1:8" s="35" customFormat="1" ht="15" x14ac:dyDescent="0.2">
      <c r="A516" s="49" t="s">
        <v>358</v>
      </c>
      <c r="B516" s="104" t="s">
        <v>642</v>
      </c>
      <c r="C516" s="22" t="s">
        <v>416</v>
      </c>
      <c r="D516" s="22"/>
      <c r="E516" s="104"/>
      <c r="F516" s="105">
        <f>F517</f>
        <v>600</v>
      </c>
      <c r="G516" s="105">
        <f t="shared" si="186"/>
        <v>238</v>
      </c>
      <c r="H516" s="127">
        <f t="shared" si="171"/>
        <v>39.666666666666664</v>
      </c>
    </row>
    <row r="517" spans="1:8" s="35" customFormat="1" ht="15" x14ac:dyDescent="0.2">
      <c r="A517" s="49" t="s">
        <v>359</v>
      </c>
      <c r="B517" s="104" t="s">
        <v>642</v>
      </c>
      <c r="C517" s="22" t="s">
        <v>416</v>
      </c>
      <c r="D517" s="22" t="s">
        <v>76</v>
      </c>
      <c r="E517" s="104"/>
      <c r="F517" s="105">
        <f>F518</f>
        <v>600</v>
      </c>
      <c r="G517" s="105">
        <f t="shared" si="186"/>
        <v>238</v>
      </c>
      <c r="H517" s="127">
        <f t="shared" si="171"/>
        <v>39.666666666666664</v>
      </c>
    </row>
    <row r="518" spans="1:8" s="35" customFormat="1" ht="15" x14ac:dyDescent="0.2">
      <c r="A518" s="112" t="s">
        <v>294</v>
      </c>
      <c r="B518" s="113" t="s">
        <v>642</v>
      </c>
      <c r="C518" s="113" t="s">
        <v>416</v>
      </c>
      <c r="D518" s="113" t="s">
        <v>76</v>
      </c>
      <c r="E518" s="113" t="s">
        <v>84</v>
      </c>
      <c r="F518" s="114">
        <f>F519</f>
        <v>600</v>
      </c>
      <c r="G518" s="114">
        <f t="shared" si="186"/>
        <v>238</v>
      </c>
      <c r="H518" s="128">
        <f t="shared" si="171"/>
        <v>39.666666666666664</v>
      </c>
    </row>
    <row r="519" spans="1:8" s="35" customFormat="1" ht="14.25" customHeight="1" x14ac:dyDescent="0.2">
      <c r="A519" s="112" t="s">
        <v>85</v>
      </c>
      <c r="B519" s="113" t="s">
        <v>642</v>
      </c>
      <c r="C519" s="113" t="s">
        <v>416</v>
      </c>
      <c r="D519" s="113" t="s">
        <v>76</v>
      </c>
      <c r="E519" s="113" t="s">
        <v>86</v>
      </c>
      <c r="F519" s="114">
        <f>300+300</f>
        <v>600</v>
      </c>
      <c r="G519" s="114">
        <v>238</v>
      </c>
      <c r="H519" s="128">
        <f t="shared" si="171"/>
        <v>39.666666666666664</v>
      </c>
    </row>
    <row r="520" spans="1:8" s="35" customFormat="1" ht="15" x14ac:dyDescent="0.2">
      <c r="A520" s="134" t="s">
        <v>241</v>
      </c>
      <c r="B520" s="179" t="s">
        <v>643</v>
      </c>
      <c r="C520" s="104"/>
      <c r="D520" s="104"/>
      <c r="E520" s="104"/>
      <c r="F520" s="105">
        <f>F521</f>
        <v>16100</v>
      </c>
      <c r="G520" s="105">
        <f t="shared" ref="G520:G523" si="187">G521</f>
        <v>15845.200999999999</v>
      </c>
      <c r="H520" s="127">
        <f t="shared" si="171"/>
        <v>98.417397515527952</v>
      </c>
    </row>
    <row r="521" spans="1:8" s="35" customFormat="1" ht="15" x14ac:dyDescent="0.2">
      <c r="A521" s="49" t="s">
        <v>358</v>
      </c>
      <c r="B521" s="179" t="s">
        <v>643</v>
      </c>
      <c r="C521" s="22" t="s">
        <v>416</v>
      </c>
      <c r="D521" s="22"/>
      <c r="E521" s="104"/>
      <c r="F521" s="105">
        <f>F522</f>
        <v>16100</v>
      </c>
      <c r="G521" s="105">
        <f t="shared" si="187"/>
        <v>15845.200999999999</v>
      </c>
      <c r="H521" s="127">
        <f t="shared" si="171"/>
        <v>98.417397515527952</v>
      </c>
    </row>
    <row r="522" spans="1:8" s="35" customFormat="1" ht="15" x14ac:dyDescent="0.2">
      <c r="A522" s="49" t="s">
        <v>359</v>
      </c>
      <c r="B522" s="179" t="s">
        <v>643</v>
      </c>
      <c r="C522" s="22" t="s">
        <v>416</v>
      </c>
      <c r="D522" s="22" t="s">
        <v>76</v>
      </c>
      <c r="E522" s="104"/>
      <c r="F522" s="105">
        <f>F523</f>
        <v>16100</v>
      </c>
      <c r="G522" s="105">
        <f t="shared" si="187"/>
        <v>15845.200999999999</v>
      </c>
      <c r="H522" s="127">
        <f t="shared" si="171"/>
        <v>98.417397515527952</v>
      </c>
    </row>
    <row r="523" spans="1:8" s="35" customFormat="1" ht="15" x14ac:dyDescent="0.2">
      <c r="A523" s="112" t="s">
        <v>294</v>
      </c>
      <c r="B523" s="113" t="s">
        <v>643</v>
      </c>
      <c r="C523" s="113" t="s">
        <v>416</v>
      </c>
      <c r="D523" s="113" t="s">
        <v>76</v>
      </c>
      <c r="E523" s="113" t="s">
        <v>84</v>
      </c>
      <c r="F523" s="114">
        <f>F524</f>
        <v>16100</v>
      </c>
      <c r="G523" s="114">
        <f t="shared" si="187"/>
        <v>15845.200999999999</v>
      </c>
      <c r="H523" s="128">
        <f t="shared" si="171"/>
        <v>98.417397515527952</v>
      </c>
    </row>
    <row r="524" spans="1:8" s="35" customFormat="1" ht="15" x14ac:dyDescent="0.2">
      <c r="A524" s="112" t="s">
        <v>85</v>
      </c>
      <c r="B524" s="113" t="s">
        <v>643</v>
      </c>
      <c r="C524" s="113" t="s">
        <v>416</v>
      </c>
      <c r="D524" s="113" t="s">
        <v>76</v>
      </c>
      <c r="E524" s="113" t="s">
        <v>86</v>
      </c>
      <c r="F524" s="114">
        <f>7000+9100</f>
        <v>16100</v>
      </c>
      <c r="G524" s="114">
        <v>15845.200999999999</v>
      </c>
      <c r="H524" s="128">
        <f t="shared" si="171"/>
        <v>98.417397515527952</v>
      </c>
    </row>
    <row r="525" spans="1:8" s="35" customFormat="1" ht="15" x14ac:dyDescent="0.2">
      <c r="A525" s="117" t="s">
        <v>152</v>
      </c>
      <c r="B525" s="118" t="s">
        <v>644</v>
      </c>
      <c r="C525" s="118"/>
      <c r="D525" s="118"/>
      <c r="E525" s="118"/>
      <c r="F525" s="119">
        <f>F526</f>
        <v>1200</v>
      </c>
      <c r="G525" s="288">
        <f t="shared" ref="G525:G528" si="188">G526</f>
        <v>0</v>
      </c>
      <c r="H525" s="127">
        <f t="shared" si="171"/>
        <v>0</v>
      </c>
    </row>
    <row r="526" spans="1:8" s="35" customFormat="1" ht="15" x14ac:dyDescent="0.2">
      <c r="A526" s="49" t="s">
        <v>358</v>
      </c>
      <c r="B526" s="104" t="s">
        <v>644</v>
      </c>
      <c r="C526" s="22" t="s">
        <v>416</v>
      </c>
      <c r="D526" s="29"/>
      <c r="E526" s="118"/>
      <c r="F526" s="105">
        <f>F527</f>
        <v>1200</v>
      </c>
      <c r="G526" s="287">
        <f t="shared" si="188"/>
        <v>0</v>
      </c>
      <c r="H526" s="127">
        <f t="shared" si="171"/>
        <v>0</v>
      </c>
    </row>
    <row r="527" spans="1:8" s="35" customFormat="1" ht="15" x14ac:dyDescent="0.2">
      <c r="A527" s="49" t="s">
        <v>360</v>
      </c>
      <c r="B527" s="104" t="s">
        <v>644</v>
      </c>
      <c r="C527" s="22" t="s">
        <v>416</v>
      </c>
      <c r="D527" s="22" t="s">
        <v>477</v>
      </c>
      <c r="E527" s="118"/>
      <c r="F527" s="105">
        <f>F528</f>
        <v>1200</v>
      </c>
      <c r="G527" s="287">
        <f t="shared" si="188"/>
        <v>0</v>
      </c>
      <c r="H527" s="127">
        <f t="shared" si="171"/>
        <v>0</v>
      </c>
    </row>
    <row r="528" spans="1:8" s="35" customFormat="1" ht="15" x14ac:dyDescent="0.2">
      <c r="A528" s="112" t="s">
        <v>294</v>
      </c>
      <c r="B528" s="113" t="s">
        <v>644</v>
      </c>
      <c r="C528" s="113" t="s">
        <v>416</v>
      </c>
      <c r="D528" s="113" t="s">
        <v>477</v>
      </c>
      <c r="E528" s="113" t="s">
        <v>84</v>
      </c>
      <c r="F528" s="114">
        <f>F529</f>
        <v>1200</v>
      </c>
      <c r="G528" s="212">
        <f t="shared" si="188"/>
        <v>0</v>
      </c>
      <c r="H528" s="127">
        <f t="shared" si="171"/>
        <v>0</v>
      </c>
    </row>
    <row r="529" spans="1:8" s="35" customFormat="1" ht="15" x14ac:dyDescent="0.2">
      <c r="A529" s="112" t="s">
        <v>85</v>
      </c>
      <c r="B529" s="113" t="s">
        <v>644</v>
      </c>
      <c r="C529" s="113" t="s">
        <v>416</v>
      </c>
      <c r="D529" s="113" t="s">
        <v>477</v>
      </c>
      <c r="E529" s="113" t="s">
        <v>86</v>
      </c>
      <c r="F529" s="114">
        <v>1200</v>
      </c>
      <c r="G529" s="212">
        <v>0</v>
      </c>
      <c r="H529" s="127">
        <f t="shared" si="171"/>
        <v>0</v>
      </c>
    </row>
    <row r="530" spans="1:8" s="35" customFormat="1" ht="15" x14ac:dyDescent="0.2">
      <c r="A530" s="117" t="s">
        <v>150</v>
      </c>
      <c r="B530" s="118" t="s">
        <v>126</v>
      </c>
      <c r="C530" s="118"/>
      <c r="D530" s="118"/>
      <c r="E530" s="118"/>
      <c r="F530" s="119">
        <f>F541+F546+F551+F561+F566+F571+F576+F581+F531+F536</f>
        <v>208644.20971999998</v>
      </c>
      <c r="G530" s="119">
        <f t="shared" ref="G530" si="189">G541+G546+G551+G561+G566+G571+G576+G581+G531+G536</f>
        <v>187113.21105000001</v>
      </c>
      <c r="H530" s="129">
        <f t="shared" si="171"/>
        <v>89.680519435984095</v>
      </c>
    </row>
    <row r="531" spans="1:8" s="35" customFormat="1" ht="48" x14ac:dyDescent="0.2">
      <c r="A531" s="210" t="s">
        <v>727</v>
      </c>
      <c r="B531" s="23" t="s">
        <v>742</v>
      </c>
      <c r="C531" s="23"/>
      <c r="D531" s="23"/>
      <c r="E531" s="23"/>
      <c r="F531" s="40">
        <f>F532</f>
        <v>8362.3067200000005</v>
      </c>
      <c r="G531" s="40">
        <f t="shared" ref="G531:G534" si="190">G532</f>
        <v>8362.3067200000005</v>
      </c>
      <c r="H531" s="129">
        <f t="shared" si="171"/>
        <v>100</v>
      </c>
    </row>
    <row r="532" spans="1:8" s="35" customFormat="1" ht="15" x14ac:dyDescent="0.2">
      <c r="A532" s="49" t="s">
        <v>358</v>
      </c>
      <c r="B532" s="104" t="s">
        <v>742</v>
      </c>
      <c r="C532" s="22" t="s">
        <v>416</v>
      </c>
      <c r="D532" s="22"/>
      <c r="E532" s="23"/>
      <c r="F532" s="105">
        <f>F533</f>
        <v>8362.3067200000005</v>
      </c>
      <c r="G532" s="105">
        <f t="shared" si="190"/>
        <v>8362.3067200000005</v>
      </c>
      <c r="H532" s="127">
        <f t="shared" si="171"/>
        <v>100</v>
      </c>
    </row>
    <row r="533" spans="1:8" s="35" customFormat="1" ht="15" x14ac:dyDescent="0.2">
      <c r="A533" s="49" t="s">
        <v>359</v>
      </c>
      <c r="B533" s="104" t="s">
        <v>742</v>
      </c>
      <c r="C533" s="22" t="s">
        <v>416</v>
      </c>
      <c r="D533" s="22" t="s">
        <v>76</v>
      </c>
      <c r="E533" s="23"/>
      <c r="F533" s="105">
        <f>F534</f>
        <v>8362.3067200000005</v>
      </c>
      <c r="G533" s="105">
        <f t="shared" si="190"/>
        <v>8362.3067200000005</v>
      </c>
      <c r="H533" s="127">
        <f t="shared" si="171"/>
        <v>100</v>
      </c>
    </row>
    <row r="534" spans="1:8" s="35" customFormat="1" ht="15" x14ac:dyDescent="0.2">
      <c r="A534" s="68" t="s">
        <v>221</v>
      </c>
      <c r="B534" s="29" t="s">
        <v>742</v>
      </c>
      <c r="C534" s="29" t="s">
        <v>416</v>
      </c>
      <c r="D534" s="29" t="s">
        <v>76</v>
      </c>
      <c r="E534" s="29" t="s">
        <v>418</v>
      </c>
      <c r="F534" s="37">
        <f>F535</f>
        <v>8362.3067200000005</v>
      </c>
      <c r="G534" s="37">
        <f t="shared" si="190"/>
        <v>8362.3067200000005</v>
      </c>
      <c r="H534" s="128">
        <f t="shared" si="171"/>
        <v>100</v>
      </c>
    </row>
    <row r="535" spans="1:8" s="35" customFormat="1" ht="15" x14ac:dyDescent="0.2">
      <c r="A535" s="68" t="s">
        <v>419</v>
      </c>
      <c r="B535" s="29" t="s">
        <v>742</v>
      </c>
      <c r="C535" s="29" t="s">
        <v>416</v>
      </c>
      <c r="D535" s="29" t="s">
        <v>76</v>
      </c>
      <c r="E535" s="29" t="s">
        <v>420</v>
      </c>
      <c r="F535" s="37">
        <v>8362.3067200000005</v>
      </c>
      <c r="G535" s="37">
        <v>8362.3067200000005</v>
      </c>
      <c r="H535" s="128">
        <f t="shared" si="171"/>
        <v>100</v>
      </c>
    </row>
    <row r="536" spans="1:8" s="35" customFormat="1" ht="24" x14ac:dyDescent="0.2">
      <c r="A536" s="103" t="s">
        <v>615</v>
      </c>
      <c r="B536" s="104" t="s">
        <v>744</v>
      </c>
      <c r="C536" s="104"/>
      <c r="D536" s="104"/>
      <c r="E536" s="104"/>
      <c r="F536" s="38">
        <f>F537</f>
        <v>1100</v>
      </c>
      <c r="G536" s="38">
        <f t="shared" ref="G536:G539" si="191">G537</f>
        <v>1042.69328</v>
      </c>
      <c r="H536" s="127">
        <f t="shared" si="171"/>
        <v>94.790298181818173</v>
      </c>
    </row>
    <row r="537" spans="1:8" s="35" customFormat="1" ht="15" x14ac:dyDescent="0.2">
      <c r="A537" s="146" t="s">
        <v>358</v>
      </c>
      <c r="B537" s="104" t="s">
        <v>744</v>
      </c>
      <c r="C537" s="104" t="s">
        <v>416</v>
      </c>
      <c r="D537" s="104"/>
      <c r="E537" s="104"/>
      <c r="F537" s="38">
        <f>F538</f>
        <v>1100</v>
      </c>
      <c r="G537" s="38">
        <f t="shared" si="191"/>
        <v>1042.69328</v>
      </c>
      <c r="H537" s="127">
        <f t="shared" si="171"/>
        <v>94.790298181818173</v>
      </c>
    </row>
    <row r="538" spans="1:8" s="35" customFormat="1" ht="15" x14ac:dyDescent="0.2">
      <c r="A538" s="146" t="s">
        <v>359</v>
      </c>
      <c r="B538" s="104" t="s">
        <v>744</v>
      </c>
      <c r="C538" s="104" t="s">
        <v>416</v>
      </c>
      <c r="D538" s="104" t="s">
        <v>76</v>
      </c>
      <c r="E538" s="104"/>
      <c r="F538" s="38">
        <f>F539</f>
        <v>1100</v>
      </c>
      <c r="G538" s="38">
        <f t="shared" si="191"/>
        <v>1042.69328</v>
      </c>
      <c r="H538" s="127">
        <f t="shared" ref="H538:H601" si="192">G538/F538*100</f>
        <v>94.790298181818173</v>
      </c>
    </row>
    <row r="539" spans="1:8" s="35" customFormat="1" ht="15" x14ac:dyDescent="0.2">
      <c r="A539" s="112" t="s">
        <v>221</v>
      </c>
      <c r="B539" s="113" t="s">
        <v>744</v>
      </c>
      <c r="C539" s="113" t="s">
        <v>416</v>
      </c>
      <c r="D539" s="113" t="s">
        <v>76</v>
      </c>
      <c r="E539" s="113" t="s">
        <v>418</v>
      </c>
      <c r="F539" s="37">
        <f>F540</f>
        <v>1100</v>
      </c>
      <c r="G539" s="37">
        <f t="shared" si="191"/>
        <v>1042.69328</v>
      </c>
      <c r="H539" s="128">
        <f t="shared" si="192"/>
        <v>94.790298181818173</v>
      </c>
    </row>
    <row r="540" spans="1:8" s="35" customFormat="1" ht="15" x14ac:dyDescent="0.2">
      <c r="A540" s="112" t="s">
        <v>419</v>
      </c>
      <c r="B540" s="113" t="s">
        <v>744</v>
      </c>
      <c r="C540" s="113" t="s">
        <v>416</v>
      </c>
      <c r="D540" s="113" t="s">
        <v>76</v>
      </c>
      <c r="E540" s="113" t="s">
        <v>420</v>
      </c>
      <c r="F540" s="37">
        <v>1100</v>
      </c>
      <c r="G540" s="37">
        <v>1042.69328</v>
      </c>
      <c r="H540" s="128">
        <f t="shared" si="192"/>
        <v>94.790298181818173</v>
      </c>
    </row>
    <row r="541" spans="1:8" s="35" customFormat="1" ht="24" x14ac:dyDescent="0.2">
      <c r="A541" s="103" t="s">
        <v>435</v>
      </c>
      <c r="B541" s="104" t="s">
        <v>493</v>
      </c>
      <c r="C541" s="104"/>
      <c r="D541" s="104"/>
      <c r="E541" s="104"/>
      <c r="F541" s="105">
        <f>F542</f>
        <v>25495</v>
      </c>
      <c r="G541" s="105">
        <f t="shared" ref="G541:G544" si="193">G542</f>
        <v>18598.37948</v>
      </c>
      <c r="H541" s="127">
        <f t="shared" si="192"/>
        <v>72.949125240243191</v>
      </c>
    </row>
    <row r="542" spans="1:8" s="35" customFormat="1" ht="15" x14ac:dyDescent="0.2">
      <c r="A542" s="49" t="s">
        <v>358</v>
      </c>
      <c r="B542" s="104" t="s">
        <v>493</v>
      </c>
      <c r="C542" s="22" t="s">
        <v>416</v>
      </c>
      <c r="D542" s="22"/>
      <c r="E542" s="118"/>
      <c r="F542" s="105">
        <f>F543</f>
        <v>25495</v>
      </c>
      <c r="G542" s="105">
        <f t="shared" si="193"/>
        <v>18598.37948</v>
      </c>
      <c r="H542" s="127">
        <f t="shared" si="192"/>
        <v>72.949125240243191</v>
      </c>
    </row>
    <row r="543" spans="1:8" s="35" customFormat="1" ht="15" x14ac:dyDescent="0.2">
      <c r="A543" s="49" t="s">
        <v>359</v>
      </c>
      <c r="B543" s="104" t="s">
        <v>493</v>
      </c>
      <c r="C543" s="22" t="s">
        <v>416</v>
      </c>
      <c r="D543" s="22" t="s">
        <v>76</v>
      </c>
      <c r="E543" s="118"/>
      <c r="F543" s="105">
        <f>F544</f>
        <v>25495</v>
      </c>
      <c r="G543" s="105">
        <f t="shared" si="193"/>
        <v>18598.37948</v>
      </c>
      <c r="H543" s="127">
        <f t="shared" si="192"/>
        <v>72.949125240243191</v>
      </c>
    </row>
    <row r="544" spans="1:8" s="35" customFormat="1" ht="14.25" customHeight="1" x14ac:dyDescent="0.2">
      <c r="A544" s="112" t="s">
        <v>104</v>
      </c>
      <c r="B544" s="113" t="s">
        <v>493</v>
      </c>
      <c r="C544" s="113" t="s">
        <v>416</v>
      </c>
      <c r="D544" s="113" t="s">
        <v>76</v>
      </c>
      <c r="E544" s="113" t="s">
        <v>391</v>
      </c>
      <c r="F544" s="114">
        <f>F545</f>
        <v>25495</v>
      </c>
      <c r="G544" s="114">
        <f t="shared" si="193"/>
        <v>18598.37948</v>
      </c>
      <c r="H544" s="128">
        <f t="shared" si="192"/>
        <v>72.949125240243191</v>
      </c>
    </row>
    <row r="545" spans="1:8" s="35" customFormat="1" ht="15" customHeight="1" x14ac:dyDescent="0.2">
      <c r="A545" s="112" t="s">
        <v>139</v>
      </c>
      <c r="B545" s="113" t="s">
        <v>493</v>
      </c>
      <c r="C545" s="113" t="s">
        <v>416</v>
      </c>
      <c r="D545" s="113" t="s">
        <v>76</v>
      </c>
      <c r="E545" s="113" t="s">
        <v>448</v>
      </c>
      <c r="F545" s="114">
        <v>25495</v>
      </c>
      <c r="G545" s="114">
        <v>18598.37948</v>
      </c>
      <c r="H545" s="128">
        <f t="shared" si="192"/>
        <v>72.949125240243191</v>
      </c>
    </row>
    <row r="546" spans="1:8" s="35" customFormat="1" ht="15" x14ac:dyDescent="0.2">
      <c r="A546" s="103" t="s">
        <v>60</v>
      </c>
      <c r="B546" s="104" t="s">
        <v>645</v>
      </c>
      <c r="C546" s="104"/>
      <c r="D546" s="104"/>
      <c r="E546" s="113"/>
      <c r="F546" s="105">
        <f>F547</f>
        <v>22829.9</v>
      </c>
      <c r="G546" s="105">
        <f t="shared" ref="G546:G549" si="194">G547</f>
        <v>22828.313419999999</v>
      </c>
      <c r="H546" s="127">
        <f t="shared" si="192"/>
        <v>99.993050429480618</v>
      </c>
    </row>
    <row r="547" spans="1:8" s="35" customFormat="1" ht="15" x14ac:dyDescent="0.2">
      <c r="A547" s="49" t="s">
        <v>358</v>
      </c>
      <c r="B547" s="104" t="s">
        <v>645</v>
      </c>
      <c r="C547" s="22" t="s">
        <v>416</v>
      </c>
      <c r="D547" s="22"/>
      <c r="E547" s="113"/>
      <c r="F547" s="105">
        <f>F548</f>
        <v>22829.9</v>
      </c>
      <c r="G547" s="105">
        <f t="shared" si="194"/>
        <v>22828.313419999999</v>
      </c>
      <c r="H547" s="127">
        <f t="shared" si="192"/>
        <v>99.993050429480618</v>
      </c>
    </row>
    <row r="548" spans="1:8" s="35" customFormat="1" ht="15" x14ac:dyDescent="0.2">
      <c r="A548" s="49" t="s">
        <v>362</v>
      </c>
      <c r="B548" s="104" t="s">
        <v>645</v>
      </c>
      <c r="C548" s="22" t="s">
        <v>416</v>
      </c>
      <c r="D548" s="22" t="s">
        <v>469</v>
      </c>
      <c r="E548" s="113"/>
      <c r="F548" s="105">
        <f>F549</f>
        <v>22829.9</v>
      </c>
      <c r="G548" s="105">
        <f t="shared" si="194"/>
        <v>22828.313419999999</v>
      </c>
      <c r="H548" s="127">
        <f t="shared" si="192"/>
        <v>99.993050429480618</v>
      </c>
    </row>
    <row r="549" spans="1:8" s="35" customFormat="1" ht="15" x14ac:dyDescent="0.2">
      <c r="A549" s="112" t="s">
        <v>104</v>
      </c>
      <c r="B549" s="113" t="s">
        <v>645</v>
      </c>
      <c r="C549" s="113" t="s">
        <v>416</v>
      </c>
      <c r="D549" s="113" t="s">
        <v>469</v>
      </c>
      <c r="E549" s="113" t="s">
        <v>391</v>
      </c>
      <c r="F549" s="114">
        <f>F550</f>
        <v>22829.9</v>
      </c>
      <c r="G549" s="114">
        <f t="shared" si="194"/>
        <v>22828.313419999999</v>
      </c>
      <c r="H549" s="128">
        <f t="shared" si="192"/>
        <v>99.993050429480618</v>
      </c>
    </row>
    <row r="550" spans="1:8" s="35" customFormat="1" ht="15" x14ac:dyDescent="0.2">
      <c r="A550" s="112" t="s">
        <v>105</v>
      </c>
      <c r="B550" s="113" t="s">
        <v>645</v>
      </c>
      <c r="C550" s="113" t="s">
        <v>416</v>
      </c>
      <c r="D550" s="113" t="s">
        <v>469</v>
      </c>
      <c r="E550" s="113" t="s">
        <v>409</v>
      </c>
      <c r="F550" s="114">
        <f>22385+444.9</f>
        <v>22829.9</v>
      </c>
      <c r="G550" s="114">
        <v>22828.313419999999</v>
      </c>
      <c r="H550" s="128">
        <f t="shared" si="192"/>
        <v>99.993050429480618</v>
      </c>
    </row>
    <row r="551" spans="1:8" s="35" customFormat="1" ht="15" x14ac:dyDescent="0.2">
      <c r="A551" s="134" t="s">
        <v>61</v>
      </c>
      <c r="B551" s="135" t="s">
        <v>646</v>
      </c>
      <c r="C551" s="104"/>
      <c r="D551" s="104"/>
      <c r="E551" s="104"/>
      <c r="F551" s="105">
        <f>F552</f>
        <v>9507.0030000000006</v>
      </c>
      <c r="G551" s="105">
        <f t="shared" ref="G551:G553" si="195">G552</f>
        <v>8400.27736</v>
      </c>
      <c r="H551" s="127">
        <f t="shared" si="192"/>
        <v>88.358837795675456</v>
      </c>
    </row>
    <row r="552" spans="1:8" s="35" customFormat="1" ht="15" x14ac:dyDescent="0.2">
      <c r="A552" s="136" t="s">
        <v>471</v>
      </c>
      <c r="B552" s="132" t="s">
        <v>646</v>
      </c>
      <c r="C552" s="132"/>
      <c r="D552" s="132"/>
      <c r="E552" s="132"/>
      <c r="F552" s="137">
        <f>F553</f>
        <v>9507.0030000000006</v>
      </c>
      <c r="G552" s="137">
        <f t="shared" si="195"/>
        <v>8400.27736</v>
      </c>
      <c r="H552" s="204">
        <f t="shared" si="192"/>
        <v>88.358837795675456</v>
      </c>
    </row>
    <row r="553" spans="1:8" s="35" customFormat="1" ht="15" x14ac:dyDescent="0.2">
      <c r="A553" s="49" t="s">
        <v>358</v>
      </c>
      <c r="B553" s="104" t="s">
        <v>646</v>
      </c>
      <c r="C553" s="22" t="s">
        <v>416</v>
      </c>
      <c r="D553" s="22"/>
      <c r="E553" s="132"/>
      <c r="F553" s="105">
        <f>F554</f>
        <v>9507.0030000000006</v>
      </c>
      <c r="G553" s="105">
        <f t="shared" si="195"/>
        <v>8400.27736</v>
      </c>
      <c r="H553" s="127">
        <f t="shared" si="192"/>
        <v>88.358837795675456</v>
      </c>
    </row>
    <row r="554" spans="1:8" s="35" customFormat="1" ht="15" x14ac:dyDescent="0.2">
      <c r="A554" s="49" t="s">
        <v>363</v>
      </c>
      <c r="B554" s="104" t="s">
        <v>646</v>
      </c>
      <c r="C554" s="22" t="s">
        <v>416</v>
      </c>
      <c r="D554" s="22" t="s">
        <v>416</v>
      </c>
      <c r="E554" s="132"/>
      <c r="F554" s="105">
        <f>F555+F557+F559</f>
        <v>9507.0030000000006</v>
      </c>
      <c r="G554" s="105">
        <f t="shared" ref="G554" si="196">G555+G557+G559</f>
        <v>8400.27736</v>
      </c>
      <c r="H554" s="127">
        <f t="shared" si="192"/>
        <v>88.358837795675456</v>
      </c>
    </row>
    <row r="555" spans="1:8" s="35" customFormat="1" ht="36" x14ac:dyDescent="0.2">
      <c r="A555" s="112" t="s">
        <v>79</v>
      </c>
      <c r="B555" s="113" t="s">
        <v>646</v>
      </c>
      <c r="C555" s="113" t="s">
        <v>416</v>
      </c>
      <c r="D555" s="113" t="s">
        <v>416</v>
      </c>
      <c r="E555" s="113" t="s">
        <v>80</v>
      </c>
      <c r="F555" s="114">
        <f>F556</f>
        <v>6626.4064500000004</v>
      </c>
      <c r="G555" s="114">
        <f t="shared" ref="G555" si="197">G556</f>
        <v>6003.0989200000004</v>
      </c>
      <c r="H555" s="128">
        <f t="shared" si="192"/>
        <v>90.593581382258861</v>
      </c>
    </row>
    <row r="556" spans="1:8" s="35" customFormat="1" ht="15" x14ac:dyDescent="0.2">
      <c r="A556" s="112" t="s">
        <v>472</v>
      </c>
      <c r="B556" s="113" t="s">
        <v>646</v>
      </c>
      <c r="C556" s="113" t="s">
        <v>416</v>
      </c>
      <c r="D556" s="113" t="s">
        <v>416</v>
      </c>
      <c r="E556" s="113" t="s">
        <v>473</v>
      </c>
      <c r="F556" s="114">
        <f>5126+1500.40645</f>
        <v>6626.4064500000004</v>
      </c>
      <c r="G556" s="114">
        <v>6003.0989200000004</v>
      </c>
      <c r="H556" s="128">
        <f t="shared" si="192"/>
        <v>90.593581382258861</v>
      </c>
    </row>
    <row r="557" spans="1:8" s="35" customFormat="1" ht="15" x14ac:dyDescent="0.2">
      <c r="A557" s="112" t="s">
        <v>294</v>
      </c>
      <c r="B557" s="113" t="s">
        <v>646</v>
      </c>
      <c r="C557" s="113" t="s">
        <v>416</v>
      </c>
      <c r="D557" s="113" t="s">
        <v>416</v>
      </c>
      <c r="E557" s="113" t="s">
        <v>84</v>
      </c>
      <c r="F557" s="114">
        <f>F558</f>
        <v>2058.5865500000004</v>
      </c>
      <c r="G557" s="114">
        <f t="shared" ref="G557" si="198">G558</f>
        <v>1585.55844</v>
      </c>
      <c r="H557" s="128">
        <f t="shared" si="192"/>
        <v>77.021704042514003</v>
      </c>
    </row>
    <row r="558" spans="1:8" s="35" customFormat="1" ht="15" x14ac:dyDescent="0.2">
      <c r="A558" s="112" t="s">
        <v>85</v>
      </c>
      <c r="B558" s="113" t="s">
        <v>646</v>
      </c>
      <c r="C558" s="113" t="s">
        <v>416</v>
      </c>
      <c r="D558" s="113" t="s">
        <v>416</v>
      </c>
      <c r="E558" s="113" t="s">
        <v>86</v>
      </c>
      <c r="F558" s="114">
        <f>78.7+69+120+194.5+20+3+80+30+30+648+708.39655-8.3+85.29</f>
        <v>2058.5865500000004</v>
      </c>
      <c r="G558" s="114">
        <v>1585.55844</v>
      </c>
      <c r="H558" s="128">
        <f t="shared" si="192"/>
        <v>77.021704042514003</v>
      </c>
    </row>
    <row r="559" spans="1:8" s="35" customFormat="1" ht="15" x14ac:dyDescent="0.2">
      <c r="A559" s="112" t="s">
        <v>87</v>
      </c>
      <c r="B559" s="113" t="s">
        <v>646</v>
      </c>
      <c r="C559" s="113" t="s">
        <v>416</v>
      </c>
      <c r="D559" s="113" t="s">
        <v>416</v>
      </c>
      <c r="E559" s="113" t="s">
        <v>88</v>
      </c>
      <c r="F559" s="114">
        <f>F560</f>
        <v>822.01</v>
      </c>
      <c r="G559" s="114">
        <f t="shared" ref="G559" si="199">G560</f>
        <v>811.62</v>
      </c>
      <c r="H559" s="128">
        <f t="shared" si="192"/>
        <v>98.736025109183586</v>
      </c>
    </row>
    <row r="560" spans="1:8" s="35" customFormat="1" ht="15" x14ac:dyDescent="0.2">
      <c r="A560" s="112" t="s">
        <v>500</v>
      </c>
      <c r="B560" s="113" t="s">
        <v>646</v>
      </c>
      <c r="C560" s="113" t="s">
        <v>416</v>
      </c>
      <c r="D560" s="113" t="s">
        <v>416</v>
      </c>
      <c r="E560" s="113" t="s">
        <v>89</v>
      </c>
      <c r="F560" s="114">
        <f>520+9+8.3+370-85.29</f>
        <v>822.01</v>
      </c>
      <c r="G560" s="114">
        <v>811.62</v>
      </c>
      <c r="H560" s="128">
        <f t="shared" si="192"/>
        <v>98.736025109183586</v>
      </c>
    </row>
    <row r="561" spans="1:8" s="35" customFormat="1" ht="24" x14ac:dyDescent="0.2">
      <c r="A561" s="103" t="s">
        <v>157</v>
      </c>
      <c r="B561" s="104" t="s">
        <v>647</v>
      </c>
      <c r="C561" s="104"/>
      <c r="D561" s="104"/>
      <c r="E561" s="104"/>
      <c r="F561" s="127">
        <f>F562</f>
        <v>2500</v>
      </c>
      <c r="G561" s="127">
        <f t="shared" ref="G561:G564" si="200">G562</f>
        <v>2500</v>
      </c>
      <c r="H561" s="127">
        <f t="shared" si="192"/>
        <v>100</v>
      </c>
    </row>
    <row r="562" spans="1:8" s="35" customFormat="1" ht="15" x14ac:dyDescent="0.2">
      <c r="A562" s="49" t="s">
        <v>358</v>
      </c>
      <c r="B562" s="22" t="s">
        <v>647</v>
      </c>
      <c r="C562" s="22" t="s">
        <v>416</v>
      </c>
      <c r="D562" s="22"/>
      <c r="E562" s="118"/>
      <c r="F562" s="127">
        <f>F563</f>
        <v>2500</v>
      </c>
      <c r="G562" s="127">
        <f t="shared" si="200"/>
        <v>2500</v>
      </c>
      <c r="H562" s="127">
        <f t="shared" si="192"/>
        <v>100</v>
      </c>
    </row>
    <row r="563" spans="1:8" s="35" customFormat="1" ht="15" x14ac:dyDescent="0.2">
      <c r="A563" s="49" t="s">
        <v>359</v>
      </c>
      <c r="B563" s="22" t="s">
        <v>647</v>
      </c>
      <c r="C563" s="22" t="s">
        <v>416</v>
      </c>
      <c r="D563" s="22" t="s">
        <v>76</v>
      </c>
      <c r="E563" s="118"/>
      <c r="F563" s="127">
        <f>F564</f>
        <v>2500</v>
      </c>
      <c r="G563" s="127">
        <f t="shared" si="200"/>
        <v>2500</v>
      </c>
      <c r="H563" s="127">
        <f t="shared" si="192"/>
        <v>100</v>
      </c>
    </row>
    <row r="564" spans="1:8" s="35" customFormat="1" ht="15" x14ac:dyDescent="0.2">
      <c r="A564" s="112" t="s">
        <v>294</v>
      </c>
      <c r="B564" s="113" t="s">
        <v>647</v>
      </c>
      <c r="C564" s="113" t="s">
        <v>416</v>
      </c>
      <c r="D564" s="113" t="s">
        <v>76</v>
      </c>
      <c r="E564" s="113" t="s">
        <v>84</v>
      </c>
      <c r="F564" s="128">
        <f>F565</f>
        <v>2500</v>
      </c>
      <c r="G564" s="128">
        <f t="shared" si="200"/>
        <v>2500</v>
      </c>
      <c r="H564" s="128">
        <f t="shared" si="192"/>
        <v>100</v>
      </c>
    </row>
    <row r="565" spans="1:8" s="35" customFormat="1" ht="15" x14ac:dyDescent="0.2">
      <c r="A565" s="112" t="s">
        <v>85</v>
      </c>
      <c r="B565" s="113" t="s">
        <v>647</v>
      </c>
      <c r="C565" s="113" t="s">
        <v>416</v>
      </c>
      <c r="D565" s="113" t="s">
        <v>76</v>
      </c>
      <c r="E565" s="113" t="s">
        <v>86</v>
      </c>
      <c r="F565" s="128">
        <v>2500</v>
      </c>
      <c r="G565" s="128">
        <v>2500</v>
      </c>
      <c r="H565" s="128">
        <f t="shared" si="192"/>
        <v>100</v>
      </c>
    </row>
    <row r="566" spans="1:8" s="35" customFormat="1" ht="36" x14ac:dyDescent="0.2">
      <c r="A566" s="146" t="s">
        <v>348</v>
      </c>
      <c r="B566" s="104" t="s">
        <v>648</v>
      </c>
      <c r="C566" s="104"/>
      <c r="D566" s="104"/>
      <c r="E566" s="104"/>
      <c r="F566" s="127">
        <f>F567</f>
        <v>34000</v>
      </c>
      <c r="G566" s="127">
        <f t="shared" ref="G566:G569" si="201">G567</f>
        <v>34000</v>
      </c>
      <c r="H566" s="127">
        <f t="shared" si="192"/>
        <v>100</v>
      </c>
    </row>
    <row r="567" spans="1:8" s="35" customFormat="1" ht="15" x14ac:dyDescent="0.2">
      <c r="A567" s="49" t="s">
        <v>358</v>
      </c>
      <c r="B567" s="104" t="s">
        <v>648</v>
      </c>
      <c r="C567" s="22" t="s">
        <v>416</v>
      </c>
      <c r="D567" s="22"/>
      <c r="E567" s="104"/>
      <c r="F567" s="127">
        <f>F568</f>
        <v>34000</v>
      </c>
      <c r="G567" s="127">
        <f t="shared" si="201"/>
        <v>34000</v>
      </c>
      <c r="H567" s="127">
        <f t="shared" si="192"/>
        <v>100</v>
      </c>
    </row>
    <row r="568" spans="1:8" s="35" customFormat="1" ht="15" x14ac:dyDescent="0.2">
      <c r="A568" s="49" t="s">
        <v>362</v>
      </c>
      <c r="B568" s="104" t="s">
        <v>648</v>
      </c>
      <c r="C568" s="22" t="s">
        <v>416</v>
      </c>
      <c r="D568" s="22" t="s">
        <v>469</v>
      </c>
      <c r="E568" s="104"/>
      <c r="F568" s="127">
        <f>F569</f>
        <v>34000</v>
      </c>
      <c r="G568" s="127">
        <f t="shared" si="201"/>
        <v>34000</v>
      </c>
      <c r="H568" s="127">
        <f t="shared" si="192"/>
        <v>100</v>
      </c>
    </row>
    <row r="569" spans="1:8" s="35" customFormat="1" ht="15" x14ac:dyDescent="0.2">
      <c r="A569" s="112" t="s">
        <v>87</v>
      </c>
      <c r="B569" s="113" t="s">
        <v>648</v>
      </c>
      <c r="C569" s="113" t="s">
        <v>416</v>
      </c>
      <c r="D569" s="113" t="s">
        <v>469</v>
      </c>
      <c r="E569" s="113" t="s">
        <v>88</v>
      </c>
      <c r="F569" s="128">
        <f>F570</f>
        <v>34000</v>
      </c>
      <c r="G569" s="128">
        <f t="shared" si="201"/>
        <v>34000</v>
      </c>
      <c r="H569" s="128">
        <f t="shared" si="192"/>
        <v>100</v>
      </c>
    </row>
    <row r="570" spans="1:8" s="35" customFormat="1" ht="24" x14ac:dyDescent="0.2">
      <c r="A570" s="112" t="s">
        <v>499</v>
      </c>
      <c r="B570" s="113" t="s">
        <v>648</v>
      </c>
      <c r="C570" s="113" t="s">
        <v>416</v>
      </c>
      <c r="D570" s="113" t="s">
        <v>469</v>
      </c>
      <c r="E570" s="113" t="s">
        <v>414</v>
      </c>
      <c r="F570" s="128">
        <v>34000</v>
      </c>
      <c r="G570" s="128">
        <v>34000</v>
      </c>
      <c r="H570" s="128">
        <f t="shared" si="192"/>
        <v>100</v>
      </c>
    </row>
    <row r="571" spans="1:8" s="35" customFormat="1" ht="15" x14ac:dyDescent="0.2">
      <c r="A571" s="103" t="s">
        <v>243</v>
      </c>
      <c r="B571" s="104" t="s">
        <v>649</v>
      </c>
      <c r="C571" s="104"/>
      <c r="D571" s="104"/>
      <c r="E571" s="104"/>
      <c r="F571" s="105">
        <f>F572</f>
        <v>85000</v>
      </c>
      <c r="G571" s="105">
        <f t="shared" ref="G571:G574" si="202">G572</f>
        <v>74659.5527</v>
      </c>
      <c r="H571" s="127">
        <f t="shared" si="192"/>
        <v>87.834767882352935</v>
      </c>
    </row>
    <row r="572" spans="1:8" s="35" customFormat="1" ht="15" x14ac:dyDescent="0.2">
      <c r="A572" s="49" t="s">
        <v>358</v>
      </c>
      <c r="B572" s="104" t="s">
        <v>649</v>
      </c>
      <c r="C572" s="22" t="s">
        <v>416</v>
      </c>
      <c r="D572" s="22"/>
      <c r="E572" s="104"/>
      <c r="F572" s="105">
        <f>F573</f>
        <v>85000</v>
      </c>
      <c r="G572" s="105">
        <f t="shared" si="202"/>
        <v>74659.5527</v>
      </c>
      <c r="H572" s="127">
        <f t="shared" si="192"/>
        <v>87.834767882352935</v>
      </c>
    </row>
    <row r="573" spans="1:8" s="35" customFormat="1" ht="15" x14ac:dyDescent="0.2">
      <c r="A573" s="49" t="s">
        <v>362</v>
      </c>
      <c r="B573" s="104" t="s">
        <v>649</v>
      </c>
      <c r="C573" s="22" t="s">
        <v>416</v>
      </c>
      <c r="D573" s="22" t="s">
        <v>469</v>
      </c>
      <c r="E573" s="104"/>
      <c r="F573" s="105">
        <f>F574</f>
        <v>85000</v>
      </c>
      <c r="G573" s="105">
        <f t="shared" si="202"/>
        <v>74659.5527</v>
      </c>
      <c r="H573" s="127">
        <f t="shared" si="192"/>
        <v>87.834767882352935</v>
      </c>
    </row>
    <row r="574" spans="1:8" s="35" customFormat="1" ht="15" x14ac:dyDescent="0.2">
      <c r="A574" s="112" t="s">
        <v>294</v>
      </c>
      <c r="B574" s="113" t="s">
        <v>649</v>
      </c>
      <c r="C574" s="113" t="s">
        <v>416</v>
      </c>
      <c r="D574" s="113" t="s">
        <v>469</v>
      </c>
      <c r="E574" s="113" t="s">
        <v>84</v>
      </c>
      <c r="F574" s="114">
        <f>F575</f>
        <v>85000</v>
      </c>
      <c r="G574" s="114">
        <f t="shared" si="202"/>
        <v>74659.5527</v>
      </c>
      <c r="H574" s="128">
        <f t="shared" si="192"/>
        <v>87.834767882352935</v>
      </c>
    </row>
    <row r="575" spans="1:8" s="35" customFormat="1" ht="15" x14ac:dyDescent="0.2">
      <c r="A575" s="112" t="s">
        <v>85</v>
      </c>
      <c r="B575" s="113" t="s">
        <v>649</v>
      </c>
      <c r="C575" s="113" t="s">
        <v>416</v>
      </c>
      <c r="D575" s="113" t="s">
        <v>469</v>
      </c>
      <c r="E575" s="113" t="s">
        <v>86</v>
      </c>
      <c r="F575" s="114">
        <v>85000</v>
      </c>
      <c r="G575" s="114">
        <v>74659.5527</v>
      </c>
      <c r="H575" s="128">
        <f t="shared" si="192"/>
        <v>87.834767882352935</v>
      </c>
    </row>
    <row r="576" spans="1:8" s="35" customFormat="1" ht="15" x14ac:dyDescent="0.2">
      <c r="A576" s="103" t="s">
        <v>650</v>
      </c>
      <c r="B576" s="104" t="s">
        <v>651</v>
      </c>
      <c r="C576" s="104"/>
      <c r="D576" s="104"/>
      <c r="E576" s="104"/>
      <c r="F576" s="105">
        <f>F577</f>
        <v>5000</v>
      </c>
      <c r="G576" s="105">
        <f t="shared" ref="G576:G579" si="203">G577</f>
        <v>3000</v>
      </c>
      <c r="H576" s="127">
        <f t="shared" si="192"/>
        <v>60</v>
      </c>
    </row>
    <row r="577" spans="1:8" s="35" customFormat="1" ht="15" x14ac:dyDescent="0.2">
      <c r="A577" s="49" t="s">
        <v>358</v>
      </c>
      <c r="B577" s="104" t="s">
        <v>651</v>
      </c>
      <c r="C577" s="22" t="s">
        <v>416</v>
      </c>
      <c r="D577" s="29"/>
      <c r="E577" s="104"/>
      <c r="F577" s="105">
        <f>F578</f>
        <v>5000</v>
      </c>
      <c r="G577" s="105">
        <f t="shared" si="203"/>
        <v>3000</v>
      </c>
      <c r="H577" s="127">
        <f t="shared" si="192"/>
        <v>60</v>
      </c>
    </row>
    <row r="578" spans="1:8" s="35" customFormat="1" ht="15" x14ac:dyDescent="0.2">
      <c r="A578" s="49" t="s">
        <v>360</v>
      </c>
      <c r="B578" s="104" t="s">
        <v>651</v>
      </c>
      <c r="C578" s="22" t="s">
        <v>416</v>
      </c>
      <c r="D578" s="22" t="s">
        <v>477</v>
      </c>
      <c r="E578" s="104"/>
      <c r="F578" s="105">
        <f>F579</f>
        <v>5000</v>
      </c>
      <c r="G578" s="105">
        <f t="shared" si="203"/>
        <v>3000</v>
      </c>
      <c r="H578" s="127">
        <f t="shared" si="192"/>
        <v>60</v>
      </c>
    </row>
    <row r="579" spans="1:8" s="35" customFormat="1" ht="15" x14ac:dyDescent="0.2">
      <c r="A579" s="112" t="s">
        <v>294</v>
      </c>
      <c r="B579" s="113" t="s">
        <v>651</v>
      </c>
      <c r="C579" s="113" t="s">
        <v>416</v>
      </c>
      <c r="D579" s="113" t="s">
        <v>477</v>
      </c>
      <c r="E579" s="113" t="s">
        <v>84</v>
      </c>
      <c r="F579" s="114">
        <f>F580</f>
        <v>5000</v>
      </c>
      <c r="G579" s="114">
        <f t="shared" si="203"/>
        <v>3000</v>
      </c>
      <c r="H579" s="128">
        <f t="shared" si="192"/>
        <v>60</v>
      </c>
    </row>
    <row r="580" spans="1:8" s="35" customFormat="1" ht="15" x14ac:dyDescent="0.2">
      <c r="A580" s="112" t="s">
        <v>85</v>
      </c>
      <c r="B580" s="113" t="s">
        <v>651</v>
      </c>
      <c r="C580" s="113" t="s">
        <v>416</v>
      </c>
      <c r="D580" s="113" t="s">
        <v>477</v>
      </c>
      <c r="E580" s="113" t="s">
        <v>86</v>
      </c>
      <c r="F580" s="114">
        <v>5000</v>
      </c>
      <c r="G580" s="114">
        <v>3000</v>
      </c>
      <c r="H580" s="128">
        <f t="shared" si="192"/>
        <v>60</v>
      </c>
    </row>
    <row r="581" spans="1:8" s="35" customFormat="1" ht="24" x14ac:dyDescent="0.2">
      <c r="A581" s="103" t="s">
        <v>245</v>
      </c>
      <c r="B581" s="104" t="s">
        <v>126</v>
      </c>
      <c r="C581" s="104"/>
      <c r="D581" s="104"/>
      <c r="E581" s="113"/>
      <c r="F581" s="105">
        <f>F582</f>
        <v>14850</v>
      </c>
      <c r="G581" s="105">
        <f t="shared" ref="G581" si="204">G582</f>
        <v>13721.68809</v>
      </c>
      <c r="H581" s="127">
        <f t="shared" si="192"/>
        <v>92.401939999999996</v>
      </c>
    </row>
    <row r="582" spans="1:8" s="35" customFormat="1" ht="24" x14ac:dyDescent="0.2">
      <c r="A582" s="117" t="s">
        <v>393</v>
      </c>
      <c r="B582" s="118" t="s">
        <v>126</v>
      </c>
      <c r="C582" s="118"/>
      <c r="D582" s="118"/>
      <c r="E582" s="118"/>
      <c r="F582" s="119">
        <f>F583+F588</f>
        <v>14850</v>
      </c>
      <c r="G582" s="119">
        <f t="shared" ref="G582" si="205">G583+G588</f>
        <v>13721.68809</v>
      </c>
      <c r="H582" s="129">
        <f t="shared" si="192"/>
        <v>92.401939999999996</v>
      </c>
    </row>
    <row r="583" spans="1:8" s="35" customFormat="1" ht="15" x14ac:dyDescent="0.2">
      <c r="A583" s="120" t="s">
        <v>375</v>
      </c>
      <c r="B583" s="104" t="s">
        <v>494</v>
      </c>
      <c r="C583" s="104"/>
      <c r="D583" s="104"/>
      <c r="E583" s="104"/>
      <c r="F583" s="105">
        <f>F584</f>
        <v>13650</v>
      </c>
      <c r="G583" s="105">
        <f>G584</f>
        <v>12837.15036</v>
      </c>
      <c r="H583" s="127">
        <f t="shared" si="192"/>
        <v>94.045057582417584</v>
      </c>
    </row>
    <row r="584" spans="1:8" s="35" customFormat="1" ht="15" x14ac:dyDescent="0.2">
      <c r="A584" s="49" t="s">
        <v>358</v>
      </c>
      <c r="B584" s="22" t="s">
        <v>494</v>
      </c>
      <c r="C584" s="22" t="s">
        <v>416</v>
      </c>
      <c r="D584" s="22"/>
      <c r="E584" s="104"/>
      <c r="F584" s="105">
        <f>F585</f>
        <v>13650</v>
      </c>
      <c r="G584" s="105">
        <f t="shared" ref="G584:G586" si="206">G585</f>
        <v>12837.15036</v>
      </c>
      <c r="H584" s="127">
        <f t="shared" si="192"/>
        <v>94.045057582417584</v>
      </c>
    </row>
    <row r="585" spans="1:8" s="35" customFormat="1" ht="15" x14ac:dyDescent="0.2">
      <c r="A585" s="49" t="s">
        <v>363</v>
      </c>
      <c r="B585" s="22" t="s">
        <v>494</v>
      </c>
      <c r="C585" s="22" t="s">
        <v>416</v>
      </c>
      <c r="D585" s="22" t="s">
        <v>416</v>
      </c>
      <c r="E585" s="104"/>
      <c r="F585" s="105">
        <f>F586</f>
        <v>13650</v>
      </c>
      <c r="G585" s="105">
        <f t="shared" si="206"/>
        <v>12837.15036</v>
      </c>
      <c r="H585" s="127">
        <f t="shared" si="192"/>
        <v>94.045057582417584</v>
      </c>
    </row>
    <row r="586" spans="1:8" s="35" customFormat="1" ht="36" x14ac:dyDescent="0.2">
      <c r="A586" s="112" t="s">
        <v>79</v>
      </c>
      <c r="B586" s="113" t="s">
        <v>494</v>
      </c>
      <c r="C586" s="113" t="s">
        <v>416</v>
      </c>
      <c r="D586" s="113" t="s">
        <v>416</v>
      </c>
      <c r="E586" s="113" t="s">
        <v>80</v>
      </c>
      <c r="F586" s="114">
        <f>F587</f>
        <v>13650</v>
      </c>
      <c r="G586" s="114">
        <f t="shared" si="206"/>
        <v>12837.15036</v>
      </c>
      <c r="H586" s="128">
        <f t="shared" si="192"/>
        <v>94.045057582417584</v>
      </c>
    </row>
    <row r="587" spans="1:8" s="35" customFormat="1" ht="15" x14ac:dyDescent="0.2">
      <c r="A587" s="112" t="s">
        <v>81</v>
      </c>
      <c r="B587" s="113" t="s">
        <v>494</v>
      </c>
      <c r="C587" s="113" t="s">
        <v>416</v>
      </c>
      <c r="D587" s="113" t="s">
        <v>416</v>
      </c>
      <c r="E587" s="113" t="s">
        <v>82</v>
      </c>
      <c r="F587" s="114">
        <v>13650</v>
      </c>
      <c r="G587" s="114">
        <v>12837.15036</v>
      </c>
      <c r="H587" s="128">
        <f t="shared" si="192"/>
        <v>94.045057582417584</v>
      </c>
    </row>
    <row r="588" spans="1:8" s="35" customFormat="1" ht="15" x14ac:dyDescent="0.2">
      <c r="A588" s="103" t="s">
        <v>83</v>
      </c>
      <c r="B588" s="104" t="s">
        <v>495</v>
      </c>
      <c r="C588" s="104"/>
      <c r="D588" s="104"/>
      <c r="E588" s="104"/>
      <c r="F588" s="105">
        <f>F589</f>
        <v>1200</v>
      </c>
      <c r="G588" s="105">
        <f t="shared" ref="G588:G589" si="207">G589</f>
        <v>884.53773000000001</v>
      </c>
      <c r="H588" s="127">
        <f t="shared" si="192"/>
        <v>73.711477500000001</v>
      </c>
    </row>
    <row r="589" spans="1:8" s="35" customFormat="1" ht="15" x14ac:dyDescent="0.2">
      <c r="A589" s="49" t="s">
        <v>358</v>
      </c>
      <c r="B589" s="104" t="s">
        <v>495</v>
      </c>
      <c r="C589" s="22" t="s">
        <v>416</v>
      </c>
      <c r="D589" s="22"/>
      <c r="E589" s="104"/>
      <c r="F589" s="105">
        <f>F590</f>
        <v>1200</v>
      </c>
      <c r="G589" s="105">
        <f t="shared" si="207"/>
        <v>884.53773000000001</v>
      </c>
      <c r="H589" s="127">
        <f t="shared" si="192"/>
        <v>73.711477500000001</v>
      </c>
    </row>
    <row r="590" spans="1:8" s="35" customFormat="1" ht="15" x14ac:dyDescent="0.2">
      <c r="A590" s="49" t="s">
        <v>363</v>
      </c>
      <c r="B590" s="104" t="s">
        <v>495</v>
      </c>
      <c r="C590" s="22" t="s">
        <v>416</v>
      </c>
      <c r="D590" s="22" t="s">
        <v>416</v>
      </c>
      <c r="E590" s="104"/>
      <c r="F590" s="105">
        <f>F591+F593</f>
        <v>1200</v>
      </c>
      <c r="G590" s="105">
        <f t="shared" ref="G590" si="208">G591+G593</f>
        <v>884.53773000000001</v>
      </c>
      <c r="H590" s="127">
        <f t="shared" si="192"/>
        <v>73.711477500000001</v>
      </c>
    </row>
    <row r="591" spans="1:8" s="35" customFormat="1" ht="13.5" customHeight="1" x14ac:dyDescent="0.2">
      <c r="A591" s="112" t="s">
        <v>294</v>
      </c>
      <c r="B591" s="113" t="s">
        <v>495</v>
      </c>
      <c r="C591" s="113" t="s">
        <v>416</v>
      </c>
      <c r="D591" s="113" t="s">
        <v>416</v>
      </c>
      <c r="E591" s="113" t="s">
        <v>84</v>
      </c>
      <c r="F591" s="114">
        <f>F592</f>
        <v>1170</v>
      </c>
      <c r="G591" s="114">
        <f t="shared" ref="G591" si="209">G592</f>
        <v>882.86514</v>
      </c>
      <c r="H591" s="128">
        <f t="shared" si="192"/>
        <v>75.458558974358965</v>
      </c>
    </row>
    <row r="592" spans="1:8" s="35" customFormat="1" ht="15" x14ac:dyDescent="0.2">
      <c r="A592" s="112" t="s">
        <v>85</v>
      </c>
      <c r="B592" s="113" t="s">
        <v>495</v>
      </c>
      <c r="C592" s="113" t="s">
        <v>416</v>
      </c>
      <c r="D592" s="113" t="s">
        <v>416</v>
      </c>
      <c r="E592" s="113" t="s">
        <v>86</v>
      </c>
      <c r="F592" s="114">
        <v>1170</v>
      </c>
      <c r="G592" s="114">
        <v>882.86514</v>
      </c>
      <c r="H592" s="128">
        <f t="shared" si="192"/>
        <v>75.458558974358965</v>
      </c>
    </row>
    <row r="593" spans="1:8" s="35" customFormat="1" ht="13.5" customHeight="1" x14ac:dyDescent="0.2">
      <c r="A593" s="112" t="s">
        <v>87</v>
      </c>
      <c r="B593" s="113" t="s">
        <v>495</v>
      </c>
      <c r="C593" s="113" t="s">
        <v>416</v>
      </c>
      <c r="D593" s="113" t="s">
        <v>416</v>
      </c>
      <c r="E593" s="113" t="s">
        <v>88</v>
      </c>
      <c r="F593" s="114">
        <f>F594</f>
        <v>30</v>
      </c>
      <c r="G593" s="114">
        <f t="shared" ref="G593" si="210">G594</f>
        <v>1.67259</v>
      </c>
      <c r="H593" s="128">
        <f t="shared" si="192"/>
        <v>5.5753000000000004</v>
      </c>
    </row>
    <row r="594" spans="1:8" s="35" customFormat="1" ht="15" x14ac:dyDescent="0.2">
      <c r="A594" s="112" t="s">
        <v>500</v>
      </c>
      <c r="B594" s="113" t="s">
        <v>495</v>
      </c>
      <c r="C594" s="113" t="s">
        <v>416</v>
      </c>
      <c r="D594" s="113" t="s">
        <v>416</v>
      </c>
      <c r="E594" s="113" t="s">
        <v>89</v>
      </c>
      <c r="F594" s="114">
        <v>30</v>
      </c>
      <c r="G594" s="114">
        <v>1.67259</v>
      </c>
      <c r="H594" s="128">
        <f t="shared" si="192"/>
        <v>5.5753000000000004</v>
      </c>
    </row>
    <row r="595" spans="1:8" s="35" customFormat="1" ht="27" x14ac:dyDescent="0.2">
      <c r="A595" s="124" t="s">
        <v>672</v>
      </c>
      <c r="B595" s="125" t="s">
        <v>266</v>
      </c>
      <c r="C595" s="125"/>
      <c r="D595" s="125"/>
      <c r="E595" s="125"/>
      <c r="F595" s="183">
        <f>F596+F601+F611+F616+F621+F626+F631+F636+F641+F646+F670+F675+F651+F661+F664+F667+F606+F656</f>
        <v>321578.62478999997</v>
      </c>
      <c r="G595" s="183">
        <f t="shared" ref="G595" si="211">G596+G601+G611+G616+G621+G626+G631+G636+G641+G646+G670+G675+G651+G661+G664+G667+G606+G656</f>
        <v>319331.85485</v>
      </c>
      <c r="H595" s="183">
        <f>G595/F595*100</f>
        <v>99.301331069045034</v>
      </c>
    </row>
    <row r="596" spans="1:8" s="35" customFormat="1" ht="24" x14ac:dyDescent="0.2">
      <c r="A596" s="103" t="s">
        <v>480</v>
      </c>
      <c r="B596" s="104" t="s">
        <v>620</v>
      </c>
      <c r="C596" s="104"/>
      <c r="D596" s="104"/>
      <c r="E596" s="104"/>
      <c r="F596" s="127">
        <f>F597</f>
        <v>1840</v>
      </c>
      <c r="G596" s="127">
        <f t="shared" ref="G596:G599" si="212">G597</f>
        <v>884.32100000000003</v>
      </c>
      <c r="H596" s="127">
        <f t="shared" si="192"/>
        <v>48.060923913043482</v>
      </c>
    </row>
    <row r="597" spans="1:8" s="35" customFormat="1" ht="15" x14ac:dyDescent="0.2">
      <c r="A597" s="49" t="s">
        <v>358</v>
      </c>
      <c r="B597" s="104" t="s">
        <v>620</v>
      </c>
      <c r="C597" s="22" t="s">
        <v>416</v>
      </c>
      <c r="D597" s="22"/>
      <c r="E597" s="104"/>
      <c r="F597" s="127">
        <f>F598</f>
        <v>1840</v>
      </c>
      <c r="G597" s="127">
        <f t="shared" si="212"/>
        <v>884.32100000000003</v>
      </c>
      <c r="H597" s="127">
        <f t="shared" si="192"/>
        <v>48.060923913043482</v>
      </c>
    </row>
    <row r="598" spans="1:8" s="35" customFormat="1" ht="15" x14ac:dyDescent="0.2">
      <c r="A598" s="49" t="s">
        <v>359</v>
      </c>
      <c r="B598" s="104" t="s">
        <v>620</v>
      </c>
      <c r="C598" s="22" t="s">
        <v>416</v>
      </c>
      <c r="D598" s="22" t="s">
        <v>76</v>
      </c>
      <c r="E598" s="104"/>
      <c r="F598" s="127">
        <f>F599</f>
        <v>1840</v>
      </c>
      <c r="G598" s="127">
        <f t="shared" si="212"/>
        <v>884.32100000000003</v>
      </c>
      <c r="H598" s="127">
        <f t="shared" si="192"/>
        <v>48.060923913043482</v>
      </c>
    </row>
    <row r="599" spans="1:8" s="35" customFormat="1" ht="15" x14ac:dyDescent="0.2">
      <c r="A599" s="112" t="s">
        <v>294</v>
      </c>
      <c r="B599" s="113" t="s">
        <v>620</v>
      </c>
      <c r="C599" s="113" t="s">
        <v>416</v>
      </c>
      <c r="D599" s="113" t="s">
        <v>76</v>
      </c>
      <c r="E599" s="113" t="s">
        <v>84</v>
      </c>
      <c r="F599" s="128">
        <f>F600</f>
        <v>1840</v>
      </c>
      <c r="G599" s="128">
        <f t="shared" si="212"/>
        <v>884.32100000000003</v>
      </c>
      <c r="H599" s="128">
        <f t="shared" si="192"/>
        <v>48.060923913043482</v>
      </c>
    </row>
    <row r="600" spans="1:8" s="35" customFormat="1" ht="15" customHeight="1" x14ac:dyDescent="0.2">
      <c r="A600" s="112" t="s">
        <v>85</v>
      </c>
      <c r="B600" s="113" t="s">
        <v>620</v>
      </c>
      <c r="C600" s="113" t="s">
        <v>416</v>
      </c>
      <c r="D600" s="113" t="s">
        <v>76</v>
      </c>
      <c r="E600" s="113" t="s">
        <v>86</v>
      </c>
      <c r="F600" s="128">
        <f>2000-160</f>
        <v>1840</v>
      </c>
      <c r="G600" s="128">
        <v>884.32100000000003</v>
      </c>
      <c r="H600" s="128">
        <f t="shared" si="192"/>
        <v>48.060923913043482</v>
      </c>
    </row>
    <row r="601" spans="1:8" s="35" customFormat="1" ht="15" x14ac:dyDescent="0.2">
      <c r="A601" s="134" t="s">
        <v>136</v>
      </c>
      <c r="B601" s="104" t="s">
        <v>619</v>
      </c>
      <c r="C601" s="104"/>
      <c r="D601" s="104"/>
      <c r="E601" s="104"/>
      <c r="F601" s="105">
        <f>F602</f>
        <v>200</v>
      </c>
      <c r="G601" s="105">
        <f t="shared" ref="G601:G604" si="213">G602</f>
        <v>0</v>
      </c>
      <c r="H601" s="127">
        <f t="shared" si="192"/>
        <v>0</v>
      </c>
    </row>
    <row r="602" spans="1:8" s="35" customFormat="1" ht="15" x14ac:dyDescent="0.2">
      <c r="A602" s="49" t="s">
        <v>353</v>
      </c>
      <c r="B602" s="104" t="s">
        <v>619</v>
      </c>
      <c r="C602" s="22" t="s">
        <v>78</v>
      </c>
      <c r="D602" s="22"/>
      <c r="E602" s="104"/>
      <c r="F602" s="105">
        <f>F603</f>
        <v>200</v>
      </c>
      <c r="G602" s="105">
        <f t="shared" si="213"/>
        <v>0</v>
      </c>
      <c r="H602" s="127">
        <f t="shared" ref="H602:H665" si="214">G602/F602*100</f>
        <v>0</v>
      </c>
    </row>
    <row r="603" spans="1:8" s="35" customFormat="1" ht="15" x14ac:dyDescent="0.2">
      <c r="A603" s="49" t="s">
        <v>388</v>
      </c>
      <c r="B603" s="104" t="s">
        <v>619</v>
      </c>
      <c r="C603" s="22" t="s">
        <v>78</v>
      </c>
      <c r="D603" s="22" t="s">
        <v>475</v>
      </c>
      <c r="E603" s="104"/>
      <c r="F603" s="105">
        <f>F604</f>
        <v>200</v>
      </c>
      <c r="G603" s="105">
        <f t="shared" si="213"/>
        <v>0</v>
      </c>
      <c r="H603" s="127">
        <f t="shared" si="214"/>
        <v>0</v>
      </c>
    </row>
    <row r="604" spans="1:8" s="35" customFormat="1" ht="15" x14ac:dyDescent="0.2">
      <c r="A604" s="112" t="s">
        <v>294</v>
      </c>
      <c r="B604" s="113" t="s">
        <v>619</v>
      </c>
      <c r="C604" s="113" t="s">
        <v>78</v>
      </c>
      <c r="D604" s="113" t="s">
        <v>475</v>
      </c>
      <c r="E604" s="113" t="s">
        <v>84</v>
      </c>
      <c r="F604" s="114">
        <f>F605</f>
        <v>200</v>
      </c>
      <c r="G604" s="114">
        <f t="shared" si="213"/>
        <v>0</v>
      </c>
      <c r="H604" s="127">
        <f t="shared" si="214"/>
        <v>0</v>
      </c>
    </row>
    <row r="605" spans="1:8" s="35" customFormat="1" ht="15" x14ac:dyDescent="0.2">
      <c r="A605" s="112" t="s">
        <v>85</v>
      </c>
      <c r="B605" s="113" t="s">
        <v>619</v>
      </c>
      <c r="C605" s="113" t="s">
        <v>78</v>
      </c>
      <c r="D605" s="113" t="s">
        <v>475</v>
      </c>
      <c r="E605" s="113" t="s">
        <v>86</v>
      </c>
      <c r="F605" s="114">
        <v>200</v>
      </c>
      <c r="G605" s="114">
        <v>0</v>
      </c>
      <c r="H605" s="127">
        <f t="shared" si="214"/>
        <v>0</v>
      </c>
    </row>
    <row r="606" spans="1:8" s="35" customFormat="1" ht="15" x14ac:dyDescent="0.2">
      <c r="A606" s="134" t="s">
        <v>136</v>
      </c>
      <c r="B606" s="104" t="s">
        <v>619</v>
      </c>
      <c r="C606" s="104"/>
      <c r="D606" s="104"/>
      <c r="E606" s="104"/>
      <c r="F606" s="127">
        <f>F607</f>
        <v>160</v>
      </c>
      <c r="G606" s="127">
        <f t="shared" ref="G606:G609" si="215">G607</f>
        <v>50</v>
      </c>
      <c r="H606" s="127">
        <f t="shared" si="214"/>
        <v>31.25</v>
      </c>
    </row>
    <row r="607" spans="1:8" s="35" customFormat="1" ht="15" x14ac:dyDescent="0.2">
      <c r="A607" s="49" t="s">
        <v>358</v>
      </c>
      <c r="B607" s="104" t="s">
        <v>619</v>
      </c>
      <c r="C607" s="22" t="s">
        <v>416</v>
      </c>
      <c r="D607" s="22"/>
      <c r="E607" s="104"/>
      <c r="F607" s="127">
        <f>F608</f>
        <v>160</v>
      </c>
      <c r="G607" s="127">
        <f t="shared" si="215"/>
        <v>50</v>
      </c>
      <c r="H607" s="127">
        <f t="shared" si="214"/>
        <v>31.25</v>
      </c>
    </row>
    <row r="608" spans="1:8" s="35" customFormat="1" ht="15" x14ac:dyDescent="0.2">
      <c r="A608" s="49" t="s">
        <v>359</v>
      </c>
      <c r="B608" s="104" t="s">
        <v>619</v>
      </c>
      <c r="C608" s="22" t="s">
        <v>416</v>
      </c>
      <c r="D608" s="22" t="s">
        <v>76</v>
      </c>
      <c r="E608" s="104"/>
      <c r="F608" s="127">
        <f>F609</f>
        <v>160</v>
      </c>
      <c r="G608" s="127">
        <f t="shared" si="215"/>
        <v>50</v>
      </c>
      <c r="H608" s="127">
        <f t="shared" si="214"/>
        <v>31.25</v>
      </c>
    </row>
    <row r="609" spans="1:8" s="35" customFormat="1" ht="15" x14ac:dyDescent="0.2">
      <c r="A609" s="112" t="s">
        <v>294</v>
      </c>
      <c r="B609" s="113" t="s">
        <v>619</v>
      </c>
      <c r="C609" s="113" t="s">
        <v>416</v>
      </c>
      <c r="D609" s="113" t="s">
        <v>76</v>
      </c>
      <c r="E609" s="113" t="s">
        <v>84</v>
      </c>
      <c r="F609" s="128">
        <f>F610</f>
        <v>160</v>
      </c>
      <c r="G609" s="128">
        <f t="shared" si="215"/>
        <v>50</v>
      </c>
      <c r="H609" s="128">
        <f t="shared" si="214"/>
        <v>31.25</v>
      </c>
    </row>
    <row r="610" spans="1:8" s="35" customFormat="1" ht="15" x14ac:dyDescent="0.2">
      <c r="A610" s="112" t="s">
        <v>85</v>
      </c>
      <c r="B610" s="113" t="s">
        <v>619</v>
      </c>
      <c r="C610" s="113" t="s">
        <v>416</v>
      </c>
      <c r="D610" s="113" t="s">
        <v>76</v>
      </c>
      <c r="E610" s="113" t="s">
        <v>86</v>
      </c>
      <c r="F610" s="128">
        <v>160</v>
      </c>
      <c r="G610" s="128">
        <v>50</v>
      </c>
      <c r="H610" s="128">
        <f t="shared" si="214"/>
        <v>31.25</v>
      </c>
    </row>
    <row r="611" spans="1:8" s="35" customFormat="1" ht="15" x14ac:dyDescent="0.2">
      <c r="A611" s="134" t="s">
        <v>136</v>
      </c>
      <c r="B611" s="104" t="s">
        <v>619</v>
      </c>
      <c r="C611" s="104"/>
      <c r="D611" s="104"/>
      <c r="E611" s="104"/>
      <c r="F611" s="127">
        <f>F612</f>
        <v>500</v>
      </c>
      <c r="G611" s="127">
        <f t="shared" ref="G611:G614" si="216">G612</f>
        <v>358.37950000000001</v>
      </c>
      <c r="H611" s="127">
        <f t="shared" si="214"/>
        <v>71.675899999999999</v>
      </c>
    </row>
    <row r="612" spans="1:8" s="35" customFormat="1" ht="15" x14ac:dyDescent="0.2">
      <c r="A612" s="49" t="s">
        <v>358</v>
      </c>
      <c r="B612" s="104" t="s">
        <v>619</v>
      </c>
      <c r="C612" s="22" t="s">
        <v>416</v>
      </c>
      <c r="D612" s="22"/>
      <c r="E612" s="104"/>
      <c r="F612" s="127">
        <f>F613</f>
        <v>500</v>
      </c>
      <c r="G612" s="127">
        <f t="shared" si="216"/>
        <v>358.37950000000001</v>
      </c>
      <c r="H612" s="127">
        <f t="shared" si="214"/>
        <v>71.675899999999999</v>
      </c>
    </row>
    <row r="613" spans="1:8" s="35" customFormat="1" ht="15" x14ac:dyDescent="0.2">
      <c r="A613" s="49" t="s">
        <v>362</v>
      </c>
      <c r="B613" s="104" t="s">
        <v>619</v>
      </c>
      <c r="C613" s="22" t="s">
        <v>416</v>
      </c>
      <c r="D613" s="22" t="s">
        <v>469</v>
      </c>
      <c r="E613" s="104"/>
      <c r="F613" s="127">
        <f>F614</f>
        <v>500</v>
      </c>
      <c r="G613" s="127">
        <f t="shared" si="216"/>
        <v>358.37950000000001</v>
      </c>
      <c r="H613" s="127">
        <f t="shared" si="214"/>
        <v>71.675899999999999</v>
      </c>
    </row>
    <row r="614" spans="1:8" s="35" customFormat="1" ht="15" x14ac:dyDescent="0.2">
      <c r="A614" s="112" t="s">
        <v>294</v>
      </c>
      <c r="B614" s="113" t="s">
        <v>619</v>
      </c>
      <c r="C614" s="113" t="s">
        <v>416</v>
      </c>
      <c r="D614" s="113" t="s">
        <v>469</v>
      </c>
      <c r="E614" s="113" t="s">
        <v>84</v>
      </c>
      <c r="F614" s="128">
        <f>F615</f>
        <v>500</v>
      </c>
      <c r="G614" s="128">
        <f t="shared" si="216"/>
        <v>358.37950000000001</v>
      </c>
      <c r="H614" s="128">
        <f t="shared" si="214"/>
        <v>71.675899999999999</v>
      </c>
    </row>
    <row r="615" spans="1:8" s="35" customFormat="1" ht="15" x14ac:dyDescent="0.2">
      <c r="A615" s="112" t="s">
        <v>85</v>
      </c>
      <c r="B615" s="113" t="s">
        <v>619</v>
      </c>
      <c r="C615" s="113" t="s">
        <v>416</v>
      </c>
      <c r="D615" s="113" t="s">
        <v>469</v>
      </c>
      <c r="E615" s="113" t="s">
        <v>86</v>
      </c>
      <c r="F615" s="128">
        <v>500</v>
      </c>
      <c r="G615" s="128">
        <v>358.37950000000001</v>
      </c>
      <c r="H615" s="128">
        <f t="shared" si="214"/>
        <v>71.675899999999999</v>
      </c>
    </row>
    <row r="616" spans="1:8" s="35" customFormat="1" ht="15" x14ac:dyDescent="0.2">
      <c r="A616" s="134" t="s">
        <v>136</v>
      </c>
      <c r="B616" s="156" t="s">
        <v>619</v>
      </c>
      <c r="C616" s="104"/>
      <c r="D616" s="104"/>
      <c r="E616" s="104"/>
      <c r="F616" s="127">
        <f>F617</f>
        <v>830.87300000000005</v>
      </c>
      <c r="G616" s="127">
        <f t="shared" ref="G616:G619" si="217">G617</f>
        <v>820.94299999999998</v>
      </c>
      <c r="H616" s="127">
        <f t="shared" si="214"/>
        <v>98.804871502624337</v>
      </c>
    </row>
    <row r="617" spans="1:8" s="35" customFormat="1" ht="15" x14ac:dyDescent="0.2">
      <c r="A617" s="49" t="s">
        <v>364</v>
      </c>
      <c r="B617" s="156" t="s">
        <v>619</v>
      </c>
      <c r="C617" s="22" t="s">
        <v>476</v>
      </c>
      <c r="D617" s="29"/>
      <c r="E617" s="104"/>
      <c r="F617" s="127">
        <f>F618</f>
        <v>830.87300000000005</v>
      </c>
      <c r="G617" s="127">
        <f t="shared" si="217"/>
        <v>820.94299999999998</v>
      </c>
      <c r="H617" s="127">
        <f t="shared" si="214"/>
        <v>98.804871502624337</v>
      </c>
    </row>
    <row r="618" spans="1:8" s="35" customFormat="1" ht="15" x14ac:dyDescent="0.2">
      <c r="A618" s="65" t="s">
        <v>368</v>
      </c>
      <c r="B618" s="156" t="s">
        <v>619</v>
      </c>
      <c r="C618" s="22" t="s">
        <v>476</v>
      </c>
      <c r="D618" s="22" t="s">
        <v>470</v>
      </c>
      <c r="E618" s="104"/>
      <c r="F618" s="127">
        <f>F619</f>
        <v>830.87300000000005</v>
      </c>
      <c r="G618" s="127">
        <f t="shared" si="217"/>
        <v>820.94299999999998</v>
      </c>
      <c r="H618" s="127">
        <f t="shared" si="214"/>
        <v>98.804871502624337</v>
      </c>
    </row>
    <row r="619" spans="1:8" s="35" customFormat="1" ht="15" x14ac:dyDescent="0.2">
      <c r="A619" s="112" t="s">
        <v>294</v>
      </c>
      <c r="B619" s="113" t="s">
        <v>619</v>
      </c>
      <c r="C619" s="113" t="s">
        <v>476</v>
      </c>
      <c r="D619" s="113" t="s">
        <v>470</v>
      </c>
      <c r="E619" s="113" t="s">
        <v>84</v>
      </c>
      <c r="F619" s="128">
        <f>F620</f>
        <v>830.87300000000005</v>
      </c>
      <c r="G619" s="128">
        <f t="shared" si="217"/>
        <v>820.94299999999998</v>
      </c>
      <c r="H619" s="128">
        <f t="shared" si="214"/>
        <v>98.804871502624337</v>
      </c>
    </row>
    <row r="620" spans="1:8" s="35" customFormat="1" ht="15" x14ac:dyDescent="0.2">
      <c r="A620" s="112" t="s">
        <v>85</v>
      </c>
      <c r="B620" s="113" t="s">
        <v>619</v>
      </c>
      <c r="C620" s="113" t="s">
        <v>476</v>
      </c>
      <c r="D620" s="113" t="s">
        <v>470</v>
      </c>
      <c r="E620" s="113" t="s">
        <v>86</v>
      </c>
      <c r="F620" s="128">
        <f>3000-2169.127</f>
        <v>830.87300000000005</v>
      </c>
      <c r="G620" s="128">
        <v>820.94299999999998</v>
      </c>
      <c r="H620" s="128">
        <f t="shared" si="214"/>
        <v>98.804871502624337</v>
      </c>
    </row>
    <row r="621" spans="1:8" s="35" customFormat="1" ht="15" x14ac:dyDescent="0.2">
      <c r="A621" s="134" t="s">
        <v>136</v>
      </c>
      <c r="B621" s="104" t="s">
        <v>619</v>
      </c>
      <c r="C621" s="104"/>
      <c r="D621" s="104"/>
      <c r="E621" s="104"/>
      <c r="F621" s="105">
        <f>F622</f>
        <v>270</v>
      </c>
      <c r="G621" s="105">
        <f t="shared" ref="G621:G624" si="218">G622</f>
        <v>220.21600000000001</v>
      </c>
      <c r="H621" s="127">
        <f t="shared" si="214"/>
        <v>81.561481481481479</v>
      </c>
    </row>
    <row r="622" spans="1:8" s="35" customFormat="1" ht="15" x14ac:dyDescent="0.2">
      <c r="A622" s="65" t="s">
        <v>379</v>
      </c>
      <c r="B622" s="156" t="s">
        <v>619</v>
      </c>
      <c r="C622" s="22" t="s">
        <v>474</v>
      </c>
      <c r="D622" s="22"/>
      <c r="E622" s="104"/>
      <c r="F622" s="105">
        <f>F623</f>
        <v>270</v>
      </c>
      <c r="G622" s="105">
        <f t="shared" si="218"/>
        <v>220.21600000000001</v>
      </c>
      <c r="H622" s="127">
        <f t="shared" si="214"/>
        <v>81.561481481481479</v>
      </c>
    </row>
    <row r="623" spans="1:8" s="35" customFormat="1" ht="15" x14ac:dyDescent="0.2">
      <c r="A623" s="65" t="s">
        <v>453</v>
      </c>
      <c r="B623" s="156" t="s">
        <v>619</v>
      </c>
      <c r="C623" s="22" t="s">
        <v>474</v>
      </c>
      <c r="D623" s="22" t="s">
        <v>78</v>
      </c>
      <c r="E623" s="104"/>
      <c r="F623" s="105">
        <f>F624</f>
        <v>270</v>
      </c>
      <c r="G623" s="105">
        <f t="shared" si="218"/>
        <v>220.21600000000001</v>
      </c>
      <c r="H623" s="127">
        <f t="shared" si="214"/>
        <v>81.561481481481479</v>
      </c>
    </row>
    <row r="624" spans="1:8" s="35" customFormat="1" ht="15" x14ac:dyDescent="0.2">
      <c r="A624" s="112" t="s">
        <v>294</v>
      </c>
      <c r="B624" s="113" t="s">
        <v>619</v>
      </c>
      <c r="C624" s="113" t="s">
        <v>474</v>
      </c>
      <c r="D624" s="113" t="s">
        <v>78</v>
      </c>
      <c r="E624" s="113" t="s">
        <v>84</v>
      </c>
      <c r="F624" s="114">
        <f>F625</f>
        <v>270</v>
      </c>
      <c r="G624" s="114">
        <f t="shared" si="218"/>
        <v>220.21600000000001</v>
      </c>
      <c r="H624" s="128">
        <f t="shared" si="214"/>
        <v>81.561481481481479</v>
      </c>
    </row>
    <row r="625" spans="1:8" s="35" customFormat="1" ht="15" x14ac:dyDescent="0.2">
      <c r="A625" s="112" t="s">
        <v>85</v>
      </c>
      <c r="B625" s="113" t="s">
        <v>619</v>
      </c>
      <c r="C625" s="113" t="s">
        <v>474</v>
      </c>
      <c r="D625" s="113" t="s">
        <v>78</v>
      </c>
      <c r="E625" s="113" t="s">
        <v>86</v>
      </c>
      <c r="F625" s="114">
        <f>500-230</f>
        <v>270</v>
      </c>
      <c r="G625" s="114">
        <v>220.21600000000001</v>
      </c>
      <c r="H625" s="128">
        <f t="shared" si="214"/>
        <v>81.561481481481479</v>
      </c>
    </row>
    <row r="626" spans="1:8" s="35" customFormat="1" ht="15" x14ac:dyDescent="0.2">
      <c r="A626" s="134" t="s">
        <v>172</v>
      </c>
      <c r="B626" s="156" t="s">
        <v>625</v>
      </c>
      <c r="C626" s="104"/>
      <c r="D626" s="104"/>
      <c r="E626" s="104"/>
      <c r="F626" s="105">
        <f>F627</f>
        <v>52869.127</v>
      </c>
      <c r="G626" s="105">
        <f t="shared" ref="G626:G629" si="219">G627</f>
        <v>52584.956050000001</v>
      </c>
      <c r="H626" s="127">
        <f t="shared" si="214"/>
        <v>99.462501149300238</v>
      </c>
    </row>
    <row r="627" spans="1:8" s="35" customFormat="1" ht="15" x14ac:dyDescent="0.2">
      <c r="A627" s="49" t="s">
        <v>364</v>
      </c>
      <c r="B627" s="156" t="s">
        <v>625</v>
      </c>
      <c r="C627" s="22" t="s">
        <v>476</v>
      </c>
      <c r="D627" s="29"/>
      <c r="E627" s="104"/>
      <c r="F627" s="105">
        <f>F628</f>
        <v>52869.127</v>
      </c>
      <c r="G627" s="105">
        <f t="shared" si="219"/>
        <v>52584.956050000001</v>
      </c>
      <c r="H627" s="127">
        <f t="shared" si="214"/>
        <v>99.462501149300238</v>
      </c>
    </row>
    <row r="628" spans="1:8" s="35" customFormat="1" ht="15" x14ac:dyDescent="0.2">
      <c r="A628" s="65" t="s">
        <v>368</v>
      </c>
      <c r="B628" s="156" t="s">
        <v>625</v>
      </c>
      <c r="C628" s="22" t="s">
        <v>476</v>
      </c>
      <c r="D628" s="22" t="s">
        <v>470</v>
      </c>
      <c r="E628" s="104"/>
      <c r="F628" s="105">
        <f>F629</f>
        <v>52869.127</v>
      </c>
      <c r="G628" s="105">
        <f t="shared" si="219"/>
        <v>52584.956050000001</v>
      </c>
      <c r="H628" s="127">
        <f t="shared" si="214"/>
        <v>99.462501149300238</v>
      </c>
    </row>
    <row r="629" spans="1:8" s="35" customFormat="1" ht="15" x14ac:dyDescent="0.2">
      <c r="A629" s="112" t="s">
        <v>294</v>
      </c>
      <c r="B629" s="157" t="s">
        <v>625</v>
      </c>
      <c r="C629" s="113" t="s">
        <v>476</v>
      </c>
      <c r="D629" s="113" t="s">
        <v>470</v>
      </c>
      <c r="E629" s="113" t="s">
        <v>84</v>
      </c>
      <c r="F629" s="114">
        <f>F630</f>
        <v>52869.127</v>
      </c>
      <c r="G629" s="114">
        <f t="shared" si="219"/>
        <v>52584.956050000001</v>
      </c>
      <c r="H629" s="128">
        <f t="shared" si="214"/>
        <v>99.462501149300238</v>
      </c>
    </row>
    <row r="630" spans="1:8" s="35" customFormat="1" ht="15" x14ac:dyDescent="0.2">
      <c r="A630" s="112" t="s">
        <v>85</v>
      </c>
      <c r="B630" s="157" t="s">
        <v>625</v>
      </c>
      <c r="C630" s="113" t="s">
        <v>476</v>
      </c>
      <c r="D630" s="113" t="s">
        <v>470</v>
      </c>
      <c r="E630" s="113" t="s">
        <v>86</v>
      </c>
      <c r="F630" s="114">
        <f>40000-8000+20950-80.873</f>
        <v>52869.127</v>
      </c>
      <c r="G630" s="114">
        <v>52584.956050000001</v>
      </c>
      <c r="H630" s="128">
        <f t="shared" si="214"/>
        <v>99.462501149300238</v>
      </c>
    </row>
    <row r="631" spans="1:8" s="35" customFormat="1" ht="15" x14ac:dyDescent="0.2">
      <c r="A631" s="103" t="s">
        <v>684</v>
      </c>
      <c r="B631" s="104" t="s">
        <v>626</v>
      </c>
      <c r="C631" s="104"/>
      <c r="D631" s="104"/>
      <c r="E631" s="104"/>
      <c r="F631" s="105">
        <f>F632</f>
        <v>17972.05</v>
      </c>
      <c r="G631" s="105">
        <f t="shared" ref="G631:G634" si="220">G632</f>
        <v>17972.05</v>
      </c>
      <c r="H631" s="127">
        <f t="shared" si="214"/>
        <v>100</v>
      </c>
    </row>
    <row r="632" spans="1:8" s="35" customFormat="1" ht="15" x14ac:dyDescent="0.2">
      <c r="A632" s="65" t="s">
        <v>379</v>
      </c>
      <c r="B632" s="104" t="s">
        <v>626</v>
      </c>
      <c r="C632" s="22" t="s">
        <v>474</v>
      </c>
      <c r="D632" s="22"/>
      <c r="E632" s="104"/>
      <c r="F632" s="105">
        <f>F633</f>
        <v>17972.05</v>
      </c>
      <c r="G632" s="105">
        <f t="shared" si="220"/>
        <v>17972.05</v>
      </c>
      <c r="H632" s="127">
        <f t="shared" si="214"/>
        <v>100</v>
      </c>
    </row>
    <row r="633" spans="1:8" s="35" customFormat="1" ht="15" x14ac:dyDescent="0.2">
      <c r="A633" s="65" t="s">
        <v>453</v>
      </c>
      <c r="B633" s="104" t="s">
        <v>626</v>
      </c>
      <c r="C633" s="22" t="s">
        <v>474</v>
      </c>
      <c r="D633" s="22" t="s">
        <v>78</v>
      </c>
      <c r="E633" s="104"/>
      <c r="F633" s="105">
        <f>F634</f>
        <v>17972.05</v>
      </c>
      <c r="G633" s="105">
        <f t="shared" si="220"/>
        <v>17972.05</v>
      </c>
      <c r="H633" s="127">
        <f t="shared" si="214"/>
        <v>100</v>
      </c>
    </row>
    <row r="634" spans="1:8" s="35" customFormat="1" ht="15" x14ac:dyDescent="0.2">
      <c r="A634" s="112" t="s">
        <v>221</v>
      </c>
      <c r="B634" s="113" t="s">
        <v>626</v>
      </c>
      <c r="C634" s="113" t="s">
        <v>474</v>
      </c>
      <c r="D634" s="113" t="s">
        <v>78</v>
      </c>
      <c r="E634" s="113" t="s">
        <v>418</v>
      </c>
      <c r="F634" s="114">
        <f>F635</f>
        <v>17972.05</v>
      </c>
      <c r="G634" s="114">
        <f t="shared" si="220"/>
        <v>17972.05</v>
      </c>
      <c r="H634" s="128">
        <f t="shared" si="214"/>
        <v>100</v>
      </c>
    </row>
    <row r="635" spans="1:8" s="35" customFormat="1" ht="15" x14ac:dyDescent="0.2">
      <c r="A635" s="112" t="s">
        <v>419</v>
      </c>
      <c r="B635" s="113" t="s">
        <v>626</v>
      </c>
      <c r="C635" s="113" t="s">
        <v>474</v>
      </c>
      <c r="D635" s="113" t="s">
        <v>78</v>
      </c>
      <c r="E635" s="113" t="s">
        <v>420</v>
      </c>
      <c r="F635" s="114">
        <f>10000+8000-27.95</f>
        <v>17972.05</v>
      </c>
      <c r="G635" s="114">
        <v>17972.05</v>
      </c>
      <c r="H635" s="128">
        <f t="shared" si="214"/>
        <v>100</v>
      </c>
    </row>
    <row r="636" spans="1:8" s="35" customFormat="1" ht="15" x14ac:dyDescent="0.2">
      <c r="A636" s="103" t="s">
        <v>222</v>
      </c>
      <c r="B636" s="104" t="s">
        <v>618</v>
      </c>
      <c r="C636" s="104"/>
      <c r="D636" s="104"/>
      <c r="E636" s="104"/>
      <c r="F636" s="105">
        <f>F637</f>
        <v>2000</v>
      </c>
      <c r="G636" s="105">
        <f t="shared" ref="G636:G639" si="221">G637</f>
        <v>1848.4590000000001</v>
      </c>
      <c r="H636" s="127">
        <f t="shared" si="214"/>
        <v>92.42295</v>
      </c>
    </row>
    <row r="637" spans="1:8" s="35" customFormat="1" ht="15" x14ac:dyDescent="0.2">
      <c r="A637" s="49" t="s">
        <v>353</v>
      </c>
      <c r="B637" s="104" t="s">
        <v>618</v>
      </c>
      <c r="C637" s="22" t="s">
        <v>78</v>
      </c>
      <c r="D637" s="22"/>
      <c r="E637" s="104"/>
      <c r="F637" s="105">
        <f>F638</f>
        <v>2000</v>
      </c>
      <c r="G637" s="105">
        <f t="shared" si="221"/>
        <v>1848.4590000000001</v>
      </c>
      <c r="H637" s="127">
        <f t="shared" si="214"/>
        <v>92.42295</v>
      </c>
    </row>
    <row r="638" spans="1:8" s="35" customFormat="1" ht="15" x14ac:dyDescent="0.2">
      <c r="A638" s="49" t="s">
        <v>388</v>
      </c>
      <c r="B638" s="104" t="s">
        <v>618</v>
      </c>
      <c r="C638" s="22" t="s">
        <v>78</v>
      </c>
      <c r="D638" s="22" t="s">
        <v>475</v>
      </c>
      <c r="E638" s="104"/>
      <c r="F638" s="105">
        <f>F639</f>
        <v>2000</v>
      </c>
      <c r="G638" s="105">
        <f t="shared" si="221"/>
        <v>1848.4590000000001</v>
      </c>
      <c r="H638" s="127">
        <f t="shared" si="214"/>
        <v>92.42295</v>
      </c>
    </row>
    <row r="639" spans="1:8" s="35" customFormat="1" ht="15" x14ac:dyDescent="0.2">
      <c r="A639" s="112" t="s">
        <v>294</v>
      </c>
      <c r="B639" s="113" t="s">
        <v>618</v>
      </c>
      <c r="C639" s="113" t="s">
        <v>78</v>
      </c>
      <c r="D639" s="113" t="s">
        <v>475</v>
      </c>
      <c r="E639" s="113" t="s">
        <v>84</v>
      </c>
      <c r="F639" s="114">
        <f>F640</f>
        <v>2000</v>
      </c>
      <c r="G639" s="114">
        <f t="shared" si="221"/>
        <v>1848.4590000000001</v>
      </c>
      <c r="H639" s="128">
        <f t="shared" si="214"/>
        <v>92.42295</v>
      </c>
    </row>
    <row r="640" spans="1:8" s="35" customFormat="1" ht="15" x14ac:dyDescent="0.2">
      <c r="A640" s="112" t="s">
        <v>85</v>
      </c>
      <c r="B640" s="113" t="s">
        <v>618</v>
      </c>
      <c r="C640" s="113" t="s">
        <v>78</v>
      </c>
      <c r="D640" s="113" t="s">
        <v>475</v>
      </c>
      <c r="E640" s="113" t="s">
        <v>86</v>
      </c>
      <c r="F640" s="114">
        <f>3000-962-38</f>
        <v>2000</v>
      </c>
      <c r="G640" s="114">
        <v>1848.4590000000001</v>
      </c>
      <c r="H640" s="128">
        <f t="shared" si="214"/>
        <v>92.42295</v>
      </c>
    </row>
    <row r="641" spans="1:8" s="35" customFormat="1" ht="15" x14ac:dyDescent="0.2">
      <c r="A641" s="134" t="s">
        <v>621</v>
      </c>
      <c r="B641" s="104" t="s">
        <v>622</v>
      </c>
      <c r="C641" s="104"/>
      <c r="D641" s="104"/>
      <c r="E641" s="104"/>
      <c r="F641" s="105">
        <f>F642</f>
        <v>10000</v>
      </c>
      <c r="G641" s="105">
        <f t="shared" ref="G641:G644" si="222">G642</f>
        <v>9814.3773000000001</v>
      </c>
      <c r="H641" s="127">
        <f t="shared" si="214"/>
        <v>98.143772999999996</v>
      </c>
    </row>
    <row r="642" spans="1:8" s="35" customFormat="1" ht="15" x14ac:dyDescent="0.2">
      <c r="A642" s="49" t="s">
        <v>358</v>
      </c>
      <c r="B642" s="104" t="s">
        <v>622</v>
      </c>
      <c r="C642" s="22" t="s">
        <v>416</v>
      </c>
      <c r="D642" s="22"/>
      <c r="E642" s="104"/>
      <c r="F642" s="105">
        <f>F643</f>
        <v>10000</v>
      </c>
      <c r="G642" s="105">
        <f t="shared" si="222"/>
        <v>9814.3773000000001</v>
      </c>
      <c r="H642" s="127">
        <f t="shared" si="214"/>
        <v>98.143772999999996</v>
      </c>
    </row>
    <row r="643" spans="1:8" s="35" customFormat="1" ht="15" x14ac:dyDescent="0.2">
      <c r="A643" s="49" t="s">
        <v>362</v>
      </c>
      <c r="B643" s="104" t="s">
        <v>622</v>
      </c>
      <c r="C643" s="22" t="s">
        <v>416</v>
      </c>
      <c r="D643" s="22" t="s">
        <v>469</v>
      </c>
      <c r="E643" s="104"/>
      <c r="F643" s="105">
        <f>F644</f>
        <v>10000</v>
      </c>
      <c r="G643" s="105">
        <f t="shared" si="222"/>
        <v>9814.3773000000001</v>
      </c>
      <c r="H643" s="127">
        <f t="shared" si="214"/>
        <v>98.143772999999996</v>
      </c>
    </row>
    <row r="644" spans="1:8" s="35" customFormat="1" ht="15" x14ac:dyDescent="0.2">
      <c r="A644" s="112" t="s">
        <v>184</v>
      </c>
      <c r="B644" s="113" t="s">
        <v>622</v>
      </c>
      <c r="C644" s="113" t="s">
        <v>416</v>
      </c>
      <c r="D644" s="113" t="s">
        <v>469</v>
      </c>
      <c r="E644" s="113" t="s">
        <v>84</v>
      </c>
      <c r="F644" s="114">
        <f>F645</f>
        <v>10000</v>
      </c>
      <c r="G644" s="114">
        <f t="shared" si="222"/>
        <v>9814.3773000000001</v>
      </c>
      <c r="H644" s="128">
        <f t="shared" si="214"/>
        <v>98.143772999999996</v>
      </c>
    </row>
    <row r="645" spans="1:8" s="35" customFormat="1" ht="15" x14ac:dyDescent="0.2">
      <c r="A645" s="112" t="s">
        <v>85</v>
      </c>
      <c r="B645" s="113" t="s">
        <v>622</v>
      </c>
      <c r="C645" s="113" t="s">
        <v>416</v>
      </c>
      <c r="D645" s="113" t="s">
        <v>469</v>
      </c>
      <c r="E645" s="113" t="s">
        <v>86</v>
      </c>
      <c r="F645" s="114">
        <v>10000</v>
      </c>
      <c r="G645" s="114">
        <v>9814.3773000000001</v>
      </c>
      <c r="H645" s="128">
        <f t="shared" si="214"/>
        <v>98.143772999999996</v>
      </c>
    </row>
    <row r="646" spans="1:8" s="35" customFormat="1" ht="15" x14ac:dyDescent="0.2">
      <c r="A646" s="103" t="s">
        <v>623</v>
      </c>
      <c r="B646" s="104" t="s">
        <v>624</v>
      </c>
      <c r="C646" s="104"/>
      <c r="D646" s="104"/>
      <c r="E646" s="104"/>
      <c r="F646" s="105">
        <f>F647</f>
        <v>2706.3270000000002</v>
      </c>
      <c r="G646" s="105">
        <f t="shared" ref="G646:G649" si="223">G647</f>
        <v>2706.3270000000002</v>
      </c>
      <c r="H646" s="127">
        <f t="shared" si="214"/>
        <v>100</v>
      </c>
    </row>
    <row r="647" spans="1:8" s="35" customFormat="1" ht="15" x14ac:dyDescent="0.2">
      <c r="A647" s="49" t="s">
        <v>358</v>
      </c>
      <c r="B647" s="104" t="s">
        <v>624</v>
      </c>
      <c r="C647" s="22" t="s">
        <v>416</v>
      </c>
      <c r="D647" s="22"/>
      <c r="E647" s="104"/>
      <c r="F647" s="105">
        <f>F648</f>
        <v>2706.3270000000002</v>
      </c>
      <c r="G647" s="105">
        <f t="shared" si="223"/>
        <v>2706.3270000000002</v>
      </c>
      <c r="H647" s="127">
        <f t="shared" si="214"/>
        <v>100</v>
      </c>
    </row>
    <row r="648" spans="1:8" s="35" customFormat="1" ht="15" x14ac:dyDescent="0.2">
      <c r="A648" s="49" t="s">
        <v>362</v>
      </c>
      <c r="B648" s="104" t="s">
        <v>624</v>
      </c>
      <c r="C648" s="22" t="s">
        <v>416</v>
      </c>
      <c r="D648" s="22" t="s">
        <v>469</v>
      </c>
      <c r="E648" s="104"/>
      <c r="F648" s="105">
        <f>F649</f>
        <v>2706.3270000000002</v>
      </c>
      <c r="G648" s="105">
        <f t="shared" si="223"/>
        <v>2706.3270000000002</v>
      </c>
      <c r="H648" s="127">
        <f t="shared" si="214"/>
        <v>100</v>
      </c>
    </row>
    <row r="649" spans="1:8" s="35" customFormat="1" ht="15" x14ac:dyDescent="0.2">
      <c r="A649" s="112" t="s">
        <v>184</v>
      </c>
      <c r="B649" s="113" t="s">
        <v>624</v>
      </c>
      <c r="C649" s="113" t="s">
        <v>416</v>
      </c>
      <c r="D649" s="113" t="s">
        <v>469</v>
      </c>
      <c r="E649" s="113" t="s">
        <v>84</v>
      </c>
      <c r="F649" s="114">
        <f>F650</f>
        <v>2706.3270000000002</v>
      </c>
      <c r="G649" s="114">
        <f t="shared" si="223"/>
        <v>2706.3270000000002</v>
      </c>
      <c r="H649" s="128">
        <f t="shared" si="214"/>
        <v>100</v>
      </c>
    </row>
    <row r="650" spans="1:8" s="35" customFormat="1" ht="15" x14ac:dyDescent="0.2">
      <c r="A650" s="112" t="s">
        <v>85</v>
      </c>
      <c r="B650" s="113" t="s">
        <v>624</v>
      </c>
      <c r="C650" s="113" t="s">
        <v>416</v>
      </c>
      <c r="D650" s="113" t="s">
        <v>469</v>
      </c>
      <c r="E650" s="113" t="s">
        <v>86</v>
      </c>
      <c r="F650" s="114">
        <f>3600-893.673</f>
        <v>2706.3270000000002</v>
      </c>
      <c r="G650" s="114">
        <v>2706.3270000000002</v>
      </c>
      <c r="H650" s="128">
        <f t="shared" si="214"/>
        <v>100</v>
      </c>
    </row>
    <row r="651" spans="1:8" s="35" customFormat="1" ht="15" x14ac:dyDescent="0.2">
      <c r="A651" s="103" t="s">
        <v>681</v>
      </c>
      <c r="B651" s="104" t="s">
        <v>678</v>
      </c>
      <c r="C651" s="104"/>
      <c r="D651" s="104"/>
      <c r="E651" s="113"/>
      <c r="F651" s="105">
        <f>F652</f>
        <v>100000</v>
      </c>
      <c r="G651" s="105">
        <f t="shared" ref="G651:G654" si="224">G652</f>
        <v>100000</v>
      </c>
      <c r="H651" s="127">
        <f t="shared" si="214"/>
        <v>100</v>
      </c>
    </row>
    <row r="652" spans="1:8" s="35" customFormat="1" ht="15" x14ac:dyDescent="0.2">
      <c r="A652" s="49" t="s">
        <v>358</v>
      </c>
      <c r="B652" s="104" t="s">
        <v>678</v>
      </c>
      <c r="C652" s="104" t="s">
        <v>416</v>
      </c>
      <c r="D652" s="104"/>
      <c r="E652" s="113"/>
      <c r="F652" s="105">
        <f>F653</f>
        <v>100000</v>
      </c>
      <c r="G652" s="105">
        <f t="shared" si="224"/>
        <v>100000</v>
      </c>
      <c r="H652" s="127">
        <f t="shared" si="214"/>
        <v>100</v>
      </c>
    </row>
    <row r="653" spans="1:8" s="35" customFormat="1" ht="15" x14ac:dyDescent="0.2">
      <c r="A653" s="49" t="s">
        <v>362</v>
      </c>
      <c r="B653" s="104" t="s">
        <v>678</v>
      </c>
      <c r="C653" s="104" t="s">
        <v>416</v>
      </c>
      <c r="D653" s="104" t="s">
        <v>469</v>
      </c>
      <c r="E653" s="113"/>
      <c r="F653" s="105">
        <f>F654</f>
        <v>100000</v>
      </c>
      <c r="G653" s="105">
        <f t="shared" si="224"/>
        <v>100000</v>
      </c>
      <c r="H653" s="127">
        <f t="shared" si="214"/>
        <v>100</v>
      </c>
    </row>
    <row r="654" spans="1:8" s="35" customFormat="1" ht="15" x14ac:dyDescent="0.2">
      <c r="A654" s="112" t="s">
        <v>184</v>
      </c>
      <c r="B654" s="113" t="s">
        <v>678</v>
      </c>
      <c r="C654" s="113" t="s">
        <v>416</v>
      </c>
      <c r="D654" s="113" t="s">
        <v>469</v>
      </c>
      <c r="E654" s="113" t="s">
        <v>84</v>
      </c>
      <c r="F654" s="114">
        <f>F655</f>
        <v>100000</v>
      </c>
      <c r="G654" s="114">
        <f t="shared" si="224"/>
        <v>100000</v>
      </c>
      <c r="H654" s="128">
        <f t="shared" si="214"/>
        <v>100</v>
      </c>
    </row>
    <row r="655" spans="1:8" s="35" customFormat="1" ht="15" x14ac:dyDescent="0.2">
      <c r="A655" s="112" t="s">
        <v>85</v>
      </c>
      <c r="B655" s="113" t="s">
        <v>678</v>
      </c>
      <c r="C655" s="113" t="s">
        <v>416</v>
      </c>
      <c r="D655" s="113" t="s">
        <v>469</v>
      </c>
      <c r="E655" s="113" t="s">
        <v>86</v>
      </c>
      <c r="F655" s="114">
        <v>100000</v>
      </c>
      <c r="G655" s="114">
        <v>100000</v>
      </c>
      <c r="H655" s="128">
        <f t="shared" si="214"/>
        <v>100</v>
      </c>
    </row>
    <row r="656" spans="1:8" s="35" customFormat="1" ht="15" x14ac:dyDescent="0.2">
      <c r="A656" s="103" t="s">
        <v>735</v>
      </c>
      <c r="B656" s="104" t="s">
        <v>736</v>
      </c>
      <c r="C656" s="113"/>
      <c r="D656" s="113"/>
      <c r="E656" s="113"/>
      <c r="F656" s="105">
        <f>F657</f>
        <v>11000</v>
      </c>
      <c r="G656" s="105">
        <f t="shared" ref="G656:G659" si="225">G657</f>
        <v>11000</v>
      </c>
      <c r="H656" s="127">
        <f t="shared" si="214"/>
        <v>100</v>
      </c>
    </row>
    <row r="657" spans="1:8" s="35" customFormat="1" ht="15" x14ac:dyDescent="0.2">
      <c r="A657" s="49" t="s">
        <v>358</v>
      </c>
      <c r="B657" s="104" t="s">
        <v>736</v>
      </c>
      <c r="C657" s="104" t="s">
        <v>416</v>
      </c>
      <c r="D657" s="104"/>
      <c r="E657" s="113"/>
      <c r="F657" s="105">
        <f>F658</f>
        <v>11000</v>
      </c>
      <c r="G657" s="105">
        <f t="shared" si="225"/>
        <v>11000</v>
      </c>
      <c r="H657" s="127">
        <f t="shared" si="214"/>
        <v>100</v>
      </c>
    </row>
    <row r="658" spans="1:8" s="35" customFormat="1" ht="15" x14ac:dyDescent="0.2">
      <c r="A658" s="49" t="s">
        <v>362</v>
      </c>
      <c r="B658" s="104" t="s">
        <v>736</v>
      </c>
      <c r="C658" s="104" t="s">
        <v>416</v>
      </c>
      <c r="D658" s="104" t="s">
        <v>469</v>
      </c>
      <c r="E658" s="113"/>
      <c r="F658" s="105">
        <f>F659</f>
        <v>11000</v>
      </c>
      <c r="G658" s="105">
        <f t="shared" si="225"/>
        <v>11000</v>
      </c>
      <c r="H658" s="127">
        <f t="shared" si="214"/>
        <v>100</v>
      </c>
    </row>
    <row r="659" spans="1:8" s="35" customFormat="1" ht="15" x14ac:dyDescent="0.2">
      <c r="A659" s="112" t="s">
        <v>184</v>
      </c>
      <c r="B659" s="113" t="s">
        <v>736</v>
      </c>
      <c r="C659" s="113" t="s">
        <v>416</v>
      </c>
      <c r="D659" s="113" t="s">
        <v>469</v>
      </c>
      <c r="E659" s="113" t="s">
        <v>84</v>
      </c>
      <c r="F659" s="114">
        <f>F660</f>
        <v>11000</v>
      </c>
      <c r="G659" s="114">
        <f t="shared" si="225"/>
        <v>11000</v>
      </c>
      <c r="H659" s="128">
        <f t="shared" si="214"/>
        <v>100</v>
      </c>
    </row>
    <row r="660" spans="1:8" s="35" customFormat="1" ht="15" x14ac:dyDescent="0.2">
      <c r="A660" s="112" t="s">
        <v>85</v>
      </c>
      <c r="B660" s="113" t="s">
        <v>736</v>
      </c>
      <c r="C660" s="113" t="s">
        <v>416</v>
      </c>
      <c r="D660" s="113" t="s">
        <v>469</v>
      </c>
      <c r="E660" s="113" t="s">
        <v>86</v>
      </c>
      <c r="F660" s="114">
        <v>11000</v>
      </c>
      <c r="G660" s="114">
        <v>11000</v>
      </c>
      <c r="H660" s="128">
        <f t="shared" si="214"/>
        <v>100</v>
      </c>
    </row>
    <row r="661" spans="1:8" s="35" customFormat="1" ht="15" x14ac:dyDescent="0.2">
      <c r="A661" s="103" t="s">
        <v>682</v>
      </c>
      <c r="B661" s="104" t="s">
        <v>683</v>
      </c>
      <c r="C661" s="104" t="s">
        <v>416</v>
      </c>
      <c r="D661" s="104" t="s">
        <v>469</v>
      </c>
      <c r="E661" s="113"/>
      <c r="F661" s="127">
        <f>F662</f>
        <v>50000</v>
      </c>
      <c r="G661" s="127">
        <f t="shared" ref="G661:G662" si="226">G662</f>
        <v>49879.822</v>
      </c>
      <c r="H661" s="127">
        <f t="shared" si="214"/>
        <v>99.759644000000009</v>
      </c>
    </row>
    <row r="662" spans="1:8" s="35" customFormat="1" ht="15" x14ac:dyDescent="0.2">
      <c r="A662" s="112" t="s">
        <v>184</v>
      </c>
      <c r="B662" s="113" t="s">
        <v>683</v>
      </c>
      <c r="C662" s="113" t="s">
        <v>416</v>
      </c>
      <c r="D662" s="113" t="s">
        <v>469</v>
      </c>
      <c r="E662" s="113" t="s">
        <v>84</v>
      </c>
      <c r="F662" s="128">
        <f>F663</f>
        <v>50000</v>
      </c>
      <c r="G662" s="128">
        <f t="shared" si="226"/>
        <v>49879.822</v>
      </c>
      <c r="H662" s="128">
        <f t="shared" si="214"/>
        <v>99.759644000000009</v>
      </c>
    </row>
    <row r="663" spans="1:8" s="35" customFormat="1" ht="15" x14ac:dyDescent="0.2">
      <c r="A663" s="112" t="s">
        <v>85</v>
      </c>
      <c r="B663" s="113" t="s">
        <v>683</v>
      </c>
      <c r="C663" s="113" t="s">
        <v>416</v>
      </c>
      <c r="D663" s="113" t="s">
        <v>469</v>
      </c>
      <c r="E663" s="113" t="s">
        <v>86</v>
      </c>
      <c r="F663" s="128">
        <v>50000</v>
      </c>
      <c r="G663" s="128">
        <v>49879.822</v>
      </c>
      <c r="H663" s="128">
        <f t="shared" si="214"/>
        <v>99.759644000000009</v>
      </c>
    </row>
    <row r="664" spans="1:8" s="35" customFormat="1" ht="48.75" customHeight="1" x14ac:dyDescent="0.2">
      <c r="A664" s="49" t="s">
        <v>731</v>
      </c>
      <c r="B664" s="22" t="s">
        <v>728</v>
      </c>
      <c r="C664" s="22" t="s">
        <v>416</v>
      </c>
      <c r="D664" s="22" t="s">
        <v>76</v>
      </c>
      <c r="E664" s="22"/>
      <c r="F664" s="127">
        <f>F665</f>
        <v>54171.156999999999</v>
      </c>
      <c r="G664" s="127">
        <f t="shared" ref="G664:G665" si="227">G665</f>
        <v>54171.156999999999</v>
      </c>
      <c r="H664" s="127">
        <f t="shared" si="214"/>
        <v>100</v>
      </c>
    </row>
    <row r="665" spans="1:8" s="35" customFormat="1" ht="15" x14ac:dyDescent="0.2">
      <c r="A665" s="68" t="s">
        <v>221</v>
      </c>
      <c r="B665" s="29" t="s">
        <v>728</v>
      </c>
      <c r="C665" s="29" t="s">
        <v>416</v>
      </c>
      <c r="D665" s="29" t="s">
        <v>76</v>
      </c>
      <c r="E665" s="29" t="s">
        <v>418</v>
      </c>
      <c r="F665" s="128">
        <f>F666</f>
        <v>54171.156999999999</v>
      </c>
      <c r="G665" s="128">
        <f t="shared" si="227"/>
        <v>54171.156999999999</v>
      </c>
      <c r="H665" s="128">
        <f t="shared" si="214"/>
        <v>100</v>
      </c>
    </row>
    <row r="666" spans="1:8" s="35" customFormat="1" ht="15" x14ac:dyDescent="0.2">
      <c r="A666" s="68" t="s">
        <v>419</v>
      </c>
      <c r="B666" s="29" t="s">
        <v>728</v>
      </c>
      <c r="C666" s="29" t="s">
        <v>416</v>
      </c>
      <c r="D666" s="29" t="s">
        <v>76</v>
      </c>
      <c r="E666" s="29" t="s">
        <v>420</v>
      </c>
      <c r="F666" s="128">
        <v>54171.156999999999</v>
      </c>
      <c r="G666" s="128">
        <v>54171.156999999999</v>
      </c>
      <c r="H666" s="128">
        <f t="shared" ref="H666:H729" si="228">G666/F666*100</f>
        <v>100</v>
      </c>
    </row>
    <row r="667" spans="1:8" s="35" customFormat="1" ht="36" x14ac:dyDescent="0.2">
      <c r="A667" s="65" t="s">
        <v>729</v>
      </c>
      <c r="B667" s="22" t="s">
        <v>730</v>
      </c>
      <c r="C667" s="22" t="s">
        <v>416</v>
      </c>
      <c r="D667" s="22" t="s">
        <v>76</v>
      </c>
      <c r="E667" s="22"/>
      <c r="F667" s="127">
        <f>F668</f>
        <v>2759.0907900000002</v>
      </c>
      <c r="G667" s="127">
        <f t="shared" ref="G667:G668" si="229">G668</f>
        <v>2759.0907900000002</v>
      </c>
      <c r="H667" s="127">
        <f t="shared" si="228"/>
        <v>100</v>
      </c>
    </row>
    <row r="668" spans="1:8" s="35" customFormat="1" ht="15" x14ac:dyDescent="0.2">
      <c r="A668" s="68" t="s">
        <v>221</v>
      </c>
      <c r="B668" s="29" t="s">
        <v>730</v>
      </c>
      <c r="C668" s="29" t="s">
        <v>416</v>
      </c>
      <c r="D668" s="29" t="s">
        <v>76</v>
      </c>
      <c r="E668" s="29" t="s">
        <v>418</v>
      </c>
      <c r="F668" s="128">
        <f>F669</f>
        <v>2759.0907900000002</v>
      </c>
      <c r="G668" s="128">
        <f t="shared" si="229"/>
        <v>2759.0907900000002</v>
      </c>
      <c r="H668" s="128">
        <f t="shared" si="228"/>
        <v>100</v>
      </c>
    </row>
    <row r="669" spans="1:8" s="35" customFormat="1" ht="15" x14ac:dyDescent="0.2">
      <c r="A669" s="68" t="s">
        <v>419</v>
      </c>
      <c r="B669" s="29" t="s">
        <v>730</v>
      </c>
      <c r="C669" s="29" t="s">
        <v>416</v>
      </c>
      <c r="D669" s="29" t="s">
        <v>76</v>
      </c>
      <c r="E669" s="29" t="s">
        <v>420</v>
      </c>
      <c r="F669" s="128">
        <v>2759.0907900000002</v>
      </c>
      <c r="G669" s="128">
        <v>2759.0907900000002</v>
      </c>
      <c r="H669" s="128">
        <f t="shared" si="228"/>
        <v>100</v>
      </c>
    </row>
    <row r="670" spans="1:8" s="35" customFormat="1" ht="24" x14ac:dyDescent="0.2">
      <c r="A670" s="103" t="s">
        <v>615</v>
      </c>
      <c r="B670" s="104" t="s">
        <v>616</v>
      </c>
      <c r="C670" s="104"/>
      <c r="D670" s="104"/>
      <c r="E670" s="104"/>
      <c r="F670" s="105">
        <f>F671</f>
        <v>13300</v>
      </c>
      <c r="G670" s="105">
        <f t="shared" ref="G670:G673" si="230">G671</f>
        <v>13261.75621</v>
      </c>
      <c r="H670" s="127">
        <f t="shared" si="228"/>
        <v>99.712452706766925</v>
      </c>
    </row>
    <row r="671" spans="1:8" s="35" customFormat="1" ht="15" x14ac:dyDescent="0.2">
      <c r="A671" s="49" t="s">
        <v>358</v>
      </c>
      <c r="B671" s="104" t="s">
        <v>616</v>
      </c>
      <c r="C671" s="22" t="s">
        <v>416</v>
      </c>
      <c r="D671" s="22"/>
      <c r="E671" s="104"/>
      <c r="F671" s="105">
        <f>F672</f>
        <v>13300</v>
      </c>
      <c r="G671" s="105">
        <f t="shared" si="230"/>
        <v>13261.75621</v>
      </c>
      <c r="H671" s="127">
        <f t="shared" si="228"/>
        <v>99.712452706766925</v>
      </c>
    </row>
    <row r="672" spans="1:8" s="35" customFormat="1" ht="15" x14ac:dyDescent="0.2">
      <c r="A672" s="49" t="s">
        <v>359</v>
      </c>
      <c r="B672" s="104" t="s">
        <v>616</v>
      </c>
      <c r="C672" s="22" t="s">
        <v>416</v>
      </c>
      <c r="D672" s="22" t="s">
        <v>76</v>
      </c>
      <c r="E672" s="104"/>
      <c r="F672" s="105">
        <f>F673</f>
        <v>13300</v>
      </c>
      <c r="G672" s="105">
        <f t="shared" si="230"/>
        <v>13261.75621</v>
      </c>
      <c r="H672" s="127">
        <f t="shared" si="228"/>
        <v>99.712452706766925</v>
      </c>
    </row>
    <row r="673" spans="1:8" s="35" customFormat="1" ht="15" x14ac:dyDescent="0.2">
      <c r="A673" s="112" t="s">
        <v>221</v>
      </c>
      <c r="B673" s="113" t="s">
        <v>616</v>
      </c>
      <c r="C673" s="113" t="s">
        <v>416</v>
      </c>
      <c r="D673" s="113" t="s">
        <v>76</v>
      </c>
      <c r="E673" s="113" t="s">
        <v>418</v>
      </c>
      <c r="F673" s="114">
        <f>F674</f>
        <v>13300</v>
      </c>
      <c r="G673" s="114">
        <f t="shared" si="230"/>
        <v>13261.75621</v>
      </c>
      <c r="H673" s="128">
        <f t="shared" si="228"/>
        <v>99.712452706766925</v>
      </c>
    </row>
    <row r="674" spans="1:8" s="35" customFormat="1" ht="15" x14ac:dyDescent="0.2">
      <c r="A674" s="112" t="s">
        <v>419</v>
      </c>
      <c r="B674" s="113" t="s">
        <v>616</v>
      </c>
      <c r="C674" s="113" t="s">
        <v>416</v>
      </c>
      <c r="D674" s="113" t="s">
        <v>76</v>
      </c>
      <c r="E674" s="113" t="s">
        <v>420</v>
      </c>
      <c r="F674" s="114">
        <v>13300</v>
      </c>
      <c r="G674" s="114">
        <v>13261.75621</v>
      </c>
      <c r="H674" s="128">
        <f t="shared" si="228"/>
        <v>99.712452706766925</v>
      </c>
    </row>
    <row r="675" spans="1:8" s="35" customFormat="1" ht="12.75" customHeight="1" x14ac:dyDescent="0.2">
      <c r="A675" s="103" t="s">
        <v>36</v>
      </c>
      <c r="B675" s="104" t="s">
        <v>617</v>
      </c>
      <c r="C675" s="104"/>
      <c r="D675" s="104"/>
      <c r="E675" s="104"/>
      <c r="F675" s="105">
        <f>F676</f>
        <v>1000</v>
      </c>
      <c r="G675" s="105">
        <f t="shared" ref="G675:G678" si="231">G676</f>
        <v>1000</v>
      </c>
      <c r="H675" s="127">
        <f t="shared" si="228"/>
        <v>100</v>
      </c>
    </row>
    <row r="676" spans="1:8" s="35" customFormat="1" ht="15.75" customHeight="1" x14ac:dyDescent="0.2">
      <c r="A676" s="49" t="s">
        <v>364</v>
      </c>
      <c r="B676" s="104" t="s">
        <v>617</v>
      </c>
      <c r="C676" s="104" t="s">
        <v>476</v>
      </c>
      <c r="D676" s="104"/>
      <c r="E676" s="104"/>
      <c r="F676" s="105">
        <f>F677</f>
        <v>1000</v>
      </c>
      <c r="G676" s="105">
        <f t="shared" si="231"/>
        <v>1000</v>
      </c>
      <c r="H676" s="127">
        <f t="shared" si="228"/>
        <v>100</v>
      </c>
    </row>
    <row r="677" spans="1:8" s="35" customFormat="1" ht="15.75" customHeight="1" x14ac:dyDescent="0.2">
      <c r="A677" s="52" t="s">
        <v>365</v>
      </c>
      <c r="B677" s="104" t="s">
        <v>617</v>
      </c>
      <c r="C677" s="104" t="s">
        <v>476</v>
      </c>
      <c r="D677" s="104" t="s">
        <v>76</v>
      </c>
      <c r="E677" s="104"/>
      <c r="F677" s="105">
        <f>F678</f>
        <v>1000</v>
      </c>
      <c r="G677" s="105">
        <f t="shared" si="231"/>
        <v>1000</v>
      </c>
      <c r="H677" s="127">
        <f t="shared" si="228"/>
        <v>100</v>
      </c>
    </row>
    <row r="678" spans="1:8" s="35" customFormat="1" ht="15.75" customHeight="1" x14ac:dyDescent="0.2">
      <c r="A678" s="112" t="s">
        <v>159</v>
      </c>
      <c r="B678" s="113" t="s">
        <v>617</v>
      </c>
      <c r="C678" s="113" t="s">
        <v>476</v>
      </c>
      <c r="D678" s="113" t="s">
        <v>76</v>
      </c>
      <c r="E678" s="113" t="s">
        <v>84</v>
      </c>
      <c r="F678" s="114">
        <f>F679</f>
        <v>1000</v>
      </c>
      <c r="G678" s="114">
        <f t="shared" si="231"/>
        <v>1000</v>
      </c>
      <c r="H678" s="128">
        <f t="shared" si="228"/>
        <v>100</v>
      </c>
    </row>
    <row r="679" spans="1:8" s="35" customFormat="1" ht="15.75" customHeight="1" x14ac:dyDescent="0.2">
      <c r="A679" s="112" t="s">
        <v>85</v>
      </c>
      <c r="B679" s="113" t="s">
        <v>617</v>
      </c>
      <c r="C679" s="113" t="s">
        <v>476</v>
      </c>
      <c r="D679" s="113" t="s">
        <v>76</v>
      </c>
      <c r="E679" s="113" t="s">
        <v>86</v>
      </c>
      <c r="F679" s="114">
        <f>500+500</f>
        <v>1000</v>
      </c>
      <c r="G679" s="114">
        <f>500+500</f>
        <v>1000</v>
      </c>
      <c r="H679" s="128">
        <f t="shared" si="228"/>
        <v>100</v>
      </c>
    </row>
    <row r="680" spans="1:8" s="35" customFormat="1" ht="25.5" customHeight="1" x14ac:dyDescent="0.2">
      <c r="A680" s="124" t="s">
        <v>496</v>
      </c>
      <c r="B680" s="125" t="s">
        <v>52</v>
      </c>
      <c r="C680" s="125"/>
      <c r="D680" s="125"/>
      <c r="E680" s="125"/>
      <c r="F680" s="183">
        <f>F681++F687+F693+F700</f>
        <v>30820.235000000001</v>
      </c>
      <c r="G680" s="183">
        <f t="shared" ref="G680" si="232">G681++G687+G693+G700</f>
        <v>30274.903999999999</v>
      </c>
      <c r="H680" s="183">
        <f>G680/F680*100</f>
        <v>98.230607261755125</v>
      </c>
    </row>
    <row r="681" spans="1:8" s="35" customFormat="1" ht="11.25" customHeight="1" x14ac:dyDescent="0.2">
      <c r="A681" s="61" t="s">
        <v>55</v>
      </c>
      <c r="B681" s="22" t="s">
        <v>56</v>
      </c>
      <c r="C681" s="22"/>
      <c r="D681" s="22"/>
      <c r="E681" s="22"/>
      <c r="F681" s="38">
        <f t="shared" ref="F681:G685" si="233">F682</f>
        <v>500</v>
      </c>
      <c r="G681" s="38">
        <f t="shared" si="233"/>
        <v>500</v>
      </c>
      <c r="H681" s="127">
        <f t="shared" si="228"/>
        <v>100</v>
      </c>
    </row>
    <row r="682" spans="1:8" s="35" customFormat="1" ht="24" x14ac:dyDescent="0.2">
      <c r="A682" s="65" t="s">
        <v>345</v>
      </c>
      <c r="B682" s="22" t="s">
        <v>568</v>
      </c>
      <c r="C682" s="22"/>
      <c r="D682" s="22"/>
      <c r="E682" s="22"/>
      <c r="F682" s="38">
        <f t="shared" si="233"/>
        <v>500</v>
      </c>
      <c r="G682" s="38">
        <f t="shared" si="233"/>
        <v>500</v>
      </c>
      <c r="H682" s="127">
        <f t="shared" si="228"/>
        <v>100</v>
      </c>
    </row>
    <row r="683" spans="1:8" s="35" customFormat="1" ht="15" x14ac:dyDescent="0.2">
      <c r="A683" s="49" t="s">
        <v>364</v>
      </c>
      <c r="B683" s="22" t="s">
        <v>568</v>
      </c>
      <c r="C683" s="22" t="s">
        <v>476</v>
      </c>
      <c r="D683" s="22"/>
      <c r="E683" s="23"/>
      <c r="F683" s="38">
        <f t="shared" si="233"/>
        <v>500</v>
      </c>
      <c r="G683" s="38">
        <f t="shared" si="233"/>
        <v>500</v>
      </c>
      <c r="H683" s="127">
        <f t="shared" si="228"/>
        <v>100</v>
      </c>
    </row>
    <row r="684" spans="1:8" s="35" customFormat="1" ht="15" x14ac:dyDescent="0.2">
      <c r="A684" s="49" t="s">
        <v>367</v>
      </c>
      <c r="B684" s="22" t="s">
        <v>568</v>
      </c>
      <c r="C684" s="22" t="s">
        <v>476</v>
      </c>
      <c r="D684" s="22" t="s">
        <v>476</v>
      </c>
      <c r="E684" s="23"/>
      <c r="F684" s="38">
        <f t="shared" si="233"/>
        <v>500</v>
      </c>
      <c r="G684" s="38">
        <f t="shared" si="233"/>
        <v>500</v>
      </c>
      <c r="H684" s="127">
        <f t="shared" si="228"/>
        <v>100</v>
      </c>
    </row>
    <row r="685" spans="1:8" s="35" customFormat="1" ht="15" x14ac:dyDescent="0.2">
      <c r="A685" s="68" t="s">
        <v>294</v>
      </c>
      <c r="B685" s="29" t="s">
        <v>568</v>
      </c>
      <c r="C685" s="29" t="s">
        <v>476</v>
      </c>
      <c r="D685" s="29" t="s">
        <v>476</v>
      </c>
      <c r="E685" s="29" t="s">
        <v>84</v>
      </c>
      <c r="F685" s="37">
        <f t="shared" si="233"/>
        <v>500</v>
      </c>
      <c r="G685" s="37">
        <f t="shared" si="233"/>
        <v>500</v>
      </c>
      <c r="H685" s="128">
        <f t="shared" si="228"/>
        <v>100</v>
      </c>
    </row>
    <row r="686" spans="1:8" s="35" customFormat="1" ht="15" x14ac:dyDescent="0.2">
      <c r="A686" s="68" t="s">
        <v>85</v>
      </c>
      <c r="B686" s="29" t="s">
        <v>568</v>
      </c>
      <c r="C686" s="29" t="s">
        <v>476</v>
      </c>
      <c r="D686" s="29" t="s">
        <v>476</v>
      </c>
      <c r="E686" s="29" t="s">
        <v>86</v>
      </c>
      <c r="F686" s="37">
        <f>3000-2500</f>
        <v>500</v>
      </c>
      <c r="G686" s="37">
        <f>3000-2500</f>
        <v>500</v>
      </c>
      <c r="H686" s="128">
        <f t="shared" si="228"/>
        <v>100</v>
      </c>
    </row>
    <row r="687" spans="1:8" s="35" customFormat="1" ht="24" x14ac:dyDescent="0.2">
      <c r="A687" s="65" t="s">
        <v>64</v>
      </c>
      <c r="B687" s="22" t="s">
        <v>66</v>
      </c>
      <c r="C687" s="22"/>
      <c r="D687" s="22"/>
      <c r="E687" s="41"/>
      <c r="F687" s="38">
        <f t="shared" ref="F687:G691" si="234">F688</f>
        <v>1023.9349999999999</v>
      </c>
      <c r="G687" s="38">
        <f t="shared" si="234"/>
        <v>1023.9349999999999</v>
      </c>
      <c r="H687" s="127">
        <f t="shared" si="228"/>
        <v>100</v>
      </c>
    </row>
    <row r="688" spans="1:8" s="35" customFormat="1" ht="24" x14ac:dyDescent="0.2">
      <c r="A688" s="65" t="s">
        <v>346</v>
      </c>
      <c r="B688" s="22" t="s">
        <v>570</v>
      </c>
      <c r="C688" s="22"/>
      <c r="D688" s="22"/>
      <c r="E688" s="22"/>
      <c r="F688" s="38">
        <f t="shared" si="234"/>
        <v>1023.9349999999999</v>
      </c>
      <c r="G688" s="38">
        <f t="shared" si="234"/>
        <v>1023.9349999999999</v>
      </c>
      <c r="H688" s="127">
        <f t="shared" si="228"/>
        <v>100</v>
      </c>
    </row>
    <row r="689" spans="1:8" s="35" customFormat="1" ht="15" x14ac:dyDescent="0.2">
      <c r="A689" s="65" t="s">
        <v>381</v>
      </c>
      <c r="B689" s="22" t="s">
        <v>570</v>
      </c>
      <c r="C689" s="22" t="s">
        <v>90</v>
      </c>
      <c r="D689" s="22"/>
      <c r="E689" s="23"/>
      <c r="F689" s="38">
        <f t="shared" si="234"/>
        <v>1023.9349999999999</v>
      </c>
      <c r="G689" s="38">
        <f t="shared" si="234"/>
        <v>1023.9349999999999</v>
      </c>
      <c r="H689" s="127">
        <f t="shared" si="228"/>
        <v>100</v>
      </c>
    </row>
    <row r="690" spans="1:8" s="35" customFormat="1" ht="15" x14ac:dyDescent="0.2">
      <c r="A690" s="65" t="s">
        <v>63</v>
      </c>
      <c r="B690" s="22" t="s">
        <v>570</v>
      </c>
      <c r="C690" s="22" t="s">
        <v>90</v>
      </c>
      <c r="D690" s="22" t="s">
        <v>76</v>
      </c>
      <c r="E690" s="23"/>
      <c r="F690" s="38">
        <f t="shared" si="234"/>
        <v>1023.9349999999999</v>
      </c>
      <c r="G690" s="38">
        <f t="shared" si="234"/>
        <v>1023.9349999999999</v>
      </c>
      <c r="H690" s="127">
        <f t="shared" si="228"/>
        <v>100</v>
      </c>
    </row>
    <row r="691" spans="1:8" s="35" customFormat="1" ht="15" x14ac:dyDescent="0.2">
      <c r="A691" s="68" t="s">
        <v>294</v>
      </c>
      <c r="B691" s="29" t="s">
        <v>570</v>
      </c>
      <c r="C691" s="29" t="s">
        <v>90</v>
      </c>
      <c r="D691" s="29" t="s">
        <v>76</v>
      </c>
      <c r="E691" s="29" t="s">
        <v>84</v>
      </c>
      <c r="F691" s="37">
        <f t="shared" si="234"/>
        <v>1023.9349999999999</v>
      </c>
      <c r="G691" s="37">
        <f t="shared" si="234"/>
        <v>1023.9349999999999</v>
      </c>
      <c r="H691" s="128">
        <f t="shared" si="228"/>
        <v>100</v>
      </c>
    </row>
    <row r="692" spans="1:8" s="35" customFormat="1" ht="15" x14ac:dyDescent="0.2">
      <c r="A692" s="68" t="s">
        <v>85</v>
      </c>
      <c r="B692" s="29" t="s">
        <v>570</v>
      </c>
      <c r="C692" s="29" t="s">
        <v>90</v>
      </c>
      <c r="D692" s="29" t="s">
        <v>76</v>
      </c>
      <c r="E692" s="29" t="s">
        <v>86</v>
      </c>
      <c r="F692" s="37">
        <f>4000-2976.065</f>
        <v>1023.9349999999999</v>
      </c>
      <c r="G692" s="37">
        <v>1023.9349999999999</v>
      </c>
      <c r="H692" s="128">
        <f t="shared" si="228"/>
        <v>100</v>
      </c>
    </row>
    <row r="693" spans="1:8" s="35" customFormat="1" ht="24" x14ac:dyDescent="0.2">
      <c r="A693" s="61" t="s">
        <v>51</v>
      </c>
      <c r="B693" s="22" t="s">
        <v>53</v>
      </c>
      <c r="C693" s="22"/>
      <c r="D693" s="22"/>
      <c r="E693" s="22"/>
      <c r="F693" s="83">
        <f>F694</f>
        <v>24991.3</v>
      </c>
      <c r="G693" s="83">
        <f t="shared" ref="G693" si="235">G694</f>
        <v>24595.600149999998</v>
      </c>
      <c r="H693" s="127">
        <f t="shared" si="228"/>
        <v>98.416649594058725</v>
      </c>
    </row>
    <row r="694" spans="1:8" s="35" customFormat="1" ht="15" x14ac:dyDescent="0.2">
      <c r="A694" s="61" t="s">
        <v>54</v>
      </c>
      <c r="B694" s="22" t="s">
        <v>571</v>
      </c>
      <c r="C694" s="22"/>
      <c r="D694" s="22"/>
      <c r="E694" s="22"/>
      <c r="F694" s="83">
        <f t="shared" ref="F694:G698" si="236">F695</f>
        <v>24991.3</v>
      </c>
      <c r="G694" s="83">
        <f t="shared" si="236"/>
        <v>24595.600149999998</v>
      </c>
      <c r="H694" s="127">
        <f t="shared" si="228"/>
        <v>98.416649594058725</v>
      </c>
    </row>
    <row r="695" spans="1:8" s="35" customFormat="1" ht="15" x14ac:dyDescent="0.2">
      <c r="A695" s="65" t="s">
        <v>381</v>
      </c>
      <c r="B695" s="22" t="s">
        <v>571</v>
      </c>
      <c r="C695" s="22" t="s">
        <v>90</v>
      </c>
      <c r="D695" s="22"/>
      <c r="E695" s="22"/>
      <c r="F695" s="83">
        <f t="shared" si="236"/>
        <v>24991.3</v>
      </c>
      <c r="G695" s="83">
        <f t="shared" si="236"/>
        <v>24595.600149999998</v>
      </c>
      <c r="H695" s="127">
        <f t="shared" si="228"/>
        <v>98.416649594058725</v>
      </c>
    </row>
    <row r="696" spans="1:8" s="35" customFormat="1" ht="15" x14ac:dyDescent="0.2">
      <c r="A696" s="65" t="s">
        <v>63</v>
      </c>
      <c r="B696" s="22" t="s">
        <v>571</v>
      </c>
      <c r="C696" s="22" t="s">
        <v>90</v>
      </c>
      <c r="D696" s="22"/>
      <c r="E696" s="22"/>
      <c r="F696" s="83">
        <f t="shared" si="236"/>
        <v>24991.3</v>
      </c>
      <c r="G696" s="83">
        <f t="shared" si="236"/>
        <v>24595.600149999998</v>
      </c>
      <c r="H696" s="127">
        <f t="shared" si="228"/>
        <v>98.416649594058725</v>
      </c>
    </row>
    <row r="697" spans="1:8" s="35" customFormat="1" ht="24" x14ac:dyDescent="0.2">
      <c r="A697" s="74" t="s">
        <v>302</v>
      </c>
      <c r="B697" s="32" t="s">
        <v>571</v>
      </c>
      <c r="C697" s="22" t="s">
        <v>90</v>
      </c>
      <c r="D697" s="22" t="s">
        <v>76</v>
      </c>
      <c r="E697" s="32"/>
      <c r="F697" s="205">
        <f t="shared" si="236"/>
        <v>24991.3</v>
      </c>
      <c r="G697" s="205">
        <f t="shared" si="236"/>
        <v>24595.600149999998</v>
      </c>
      <c r="H697" s="204">
        <f t="shared" si="228"/>
        <v>98.416649594058725</v>
      </c>
    </row>
    <row r="698" spans="1:8" s="35" customFormat="1" ht="15" x14ac:dyDescent="0.2">
      <c r="A698" s="68" t="s">
        <v>104</v>
      </c>
      <c r="B698" s="29" t="s">
        <v>571</v>
      </c>
      <c r="C698" s="29" t="s">
        <v>90</v>
      </c>
      <c r="D698" s="29" t="s">
        <v>76</v>
      </c>
      <c r="E698" s="29" t="s">
        <v>391</v>
      </c>
      <c r="F698" s="84">
        <f t="shared" si="236"/>
        <v>24991.3</v>
      </c>
      <c r="G698" s="84">
        <f t="shared" si="236"/>
        <v>24595.600149999998</v>
      </c>
      <c r="H698" s="128">
        <f t="shared" si="228"/>
        <v>98.416649594058725</v>
      </c>
    </row>
    <row r="699" spans="1:8" s="35" customFormat="1" ht="15" x14ac:dyDescent="0.2">
      <c r="A699" s="68" t="s">
        <v>502</v>
      </c>
      <c r="B699" s="29" t="s">
        <v>571</v>
      </c>
      <c r="C699" s="29" t="s">
        <v>90</v>
      </c>
      <c r="D699" s="29" t="s">
        <v>76</v>
      </c>
      <c r="E699" s="29" t="s">
        <v>503</v>
      </c>
      <c r="F699" s="128">
        <f>25545.1+4796.2-450-4900</f>
        <v>24991.3</v>
      </c>
      <c r="G699" s="128">
        <v>24595.600149999998</v>
      </c>
      <c r="H699" s="128">
        <f t="shared" si="228"/>
        <v>98.416649594058725</v>
      </c>
    </row>
    <row r="700" spans="1:8" s="35" customFormat="1" ht="15" x14ac:dyDescent="0.2">
      <c r="A700" s="65" t="s">
        <v>67</v>
      </c>
      <c r="B700" s="22" t="s">
        <v>68</v>
      </c>
      <c r="C700" s="22"/>
      <c r="D700" s="22"/>
      <c r="E700" s="22"/>
      <c r="F700" s="38">
        <f>F701</f>
        <v>4305</v>
      </c>
      <c r="G700" s="38">
        <f t="shared" ref="G700" si="237">G701</f>
        <v>4155.3688499999998</v>
      </c>
      <c r="H700" s="127">
        <f t="shared" si="228"/>
        <v>96.524247386759583</v>
      </c>
    </row>
    <row r="701" spans="1:8" s="35" customFormat="1" ht="24" x14ac:dyDescent="0.2">
      <c r="A701" s="65" t="s">
        <v>305</v>
      </c>
      <c r="B701" s="22" t="s">
        <v>68</v>
      </c>
      <c r="C701" s="22"/>
      <c r="D701" s="22"/>
      <c r="E701" s="22"/>
      <c r="F701" s="38">
        <f>F702+F707</f>
        <v>4305</v>
      </c>
      <c r="G701" s="38">
        <f t="shared" ref="G701" si="238">G702+G707</f>
        <v>4155.3688499999998</v>
      </c>
      <c r="H701" s="127">
        <f t="shared" si="228"/>
        <v>96.524247386759583</v>
      </c>
    </row>
    <row r="702" spans="1:8" s="35" customFormat="1" ht="15" x14ac:dyDescent="0.2">
      <c r="A702" s="65" t="s">
        <v>381</v>
      </c>
      <c r="B702" s="22" t="s">
        <v>69</v>
      </c>
      <c r="C702" s="22"/>
      <c r="D702" s="22"/>
      <c r="E702" s="22"/>
      <c r="F702" s="38">
        <f t="shared" ref="F702:G705" si="239">F703</f>
        <v>4220</v>
      </c>
      <c r="G702" s="38">
        <f t="shared" si="239"/>
        <v>4084.8198499999999</v>
      </c>
      <c r="H702" s="127">
        <f t="shared" si="228"/>
        <v>96.796678909952604</v>
      </c>
    </row>
    <row r="703" spans="1:8" s="35" customFormat="1" ht="15" x14ac:dyDescent="0.2">
      <c r="A703" s="67" t="s">
        <v>183</v>
      </c>
      <c r="B703" s="22" t="s">
        <v>69</v>
      </c>
      <c r="C703" s="22" t="s">
        <v>90</v>
      </c>
      <c r="D703" s="22"/>
      <c r="E703" s="22"/>
      <c r="F703" s="38">
        <f t="shared" si="239"/>
        <v>4220</v>
      </c>
      <c r="G703" s="38">
        <f t="shared" si="239"/>
        <v>4084.8198499999999</v>
      </c>
      <c r="H703" s="127">
        <f t="shared" si="228"/>
        <v>96.796678909952604</v>
      </c>
    </row>
    <row r="704" spans="1:8" s="35" customFormat="1" ht="15" x14ac:dyDescent="0.2">
      <c r="A704" s="66" t="s">
        <v>296</v>
      </c>
      <c r="B704" s="23" t="s">
        <v>69</v>
      </c>
      <c r="C704" s="22" t="s">
        <v>90</v>
      </c>
      <c r="D704" s="22" t="s">
        <v>416</v>
      </c>
      <c r="E704" s="23"/>
      <c r="F704" s="40">
        <f t="shared" si="239"/>
        <v>4220</v>
      </c>
      <c r="G704" s="40">
        <f t="shared" si="239"/>
        <v>4084.8198499999999</v>
      </c>
      <c r="H704" s="129">
        <f t="shared" si="228"/>
        <v>96.796678909952604</v>
      </c>
    </row>
    <row r="705" spans="1:8" s="35" customFormat="1" ht="36" x14ac:dyDescent="0.2">
      <c r="A705" s="68" t="s">
        <v>79</v>
      </c>
      <c r="B705" s="29" t="s">
        <v>69</v>
      </c>
      <c r="C705" s="29" t="s">
        <v>90</v>
      </c>
      <c r="D705" s="29" t="s">
        <v>416</v>
      </c>
      <c r="E705" s="29" t="s">
        <v>80</v>
      </c>
      <c r="F705" s="37">
        <f t="shared" si="239"/>
        <v>4220</v>
      </c>
      <c r="G705" s="37">
        <f t="shared" si="239"/>
        <v>4084.8198499999999</v>
      </c>
      <c r="H705" s="128">
        <f t="shared" si="228"/>
        <v>96.796678909952604</v>
      </c>
    </row>
    <row r="706" spans="1:8" s="35" customFormat="1" ht="15" x14ac:dyDescent="0.2">
      <c r="A706" s="68" t="s">
        <v>81</v>
      </c>
      <c r="B706" s="29" t="s">
        <v>69</v>
      </c>
      <c r="C706" s="29" t="s">
        <v>90</v>
      </c>
      <c r="D706" s="29" t="s">
        <v>416</v>
      </c>
      <c r="E706" s="29" t="s">
        <v>82</v>
      </c>
      <c r="F706" s="114">
        <f>2830+20+850+10+60+450</f>
        <v>4220</v>
      </c>
      <c r="G706" s="114">
        <v>4084.8198499999999</v>
      </c>
      <c r="H706" s="128">
        <f t="shared" si="228"/>
        <v>96.796678909952604</v>
      </c>
    </row>
    <row r="707" spans="1:8" s="35" customFormat="1" ht="15" x14ac:dyDescent="0.2">
      <c r="A707" s="65" t="s">
        <v>83</v>
      </c>
      <c r="B707" s="22" t="s">
        <v>70</v>
      </c>
      <c r="C707" s="22"/>
      <c r="D707" s="22"/>
      <c r="E707" s="22"/>
      <c r="F707" s="38">
        <f>F708</f>
        <v>85</v>
      </c>
      <c r="G707" s="38">
        <f t="shared" ref="G707:G708" si="240">G708</f>
        <v>70.549000000000007</v>
      </c>
      <c r="H707" s="127">
        <f t="shared" si="228"/>
        <v>82.998823529411766</v>
      </c>
    </row>
    <row r="708" spans="1:8" s="35" customFormat="1" ht="15" x14ac:dyDescent="0.2">
      <c r="A708" s="65" t="s">
        <v>381</v>
      </c>
      <c r="B708" s="22" t="s">
        <v>70</v>
      </c>
      <c r="C708" s="22" t="s">
        <v>90</v>
      </c>
      <c r="D708" s="22"/>
      <c r="E708" s="22"/>
      <c r="F708" s="38">
        <f>F709</f>
        <v>85</v>
      </c>
      <c r="G708" s="38">
        <f t="shared" si="240"/>
        <v>70.549000000000007</v>
      </c>
      <c r="H708" s="127">
        <f t="shared" si="228"/>
        <v>82.998823529411766</v>
      </c>
    </row>
    <row r="709" spans="1:8" s="35" customFormat="1" ht="15" x14ac:dyDescent="0.2">
      <c r="A709" s="67" t="s">
        <v>183</v>
      </c>
      <c r="B709" s="22" t="s">
        <v>70</v>
      </c>
      <c r="C709" s="22" t="s">
        <v>90</v>
      </c>
      <c r="D709" s="22" t="s">
        <v>416</v>
      </c>
      <c r="E709" s="22"/>
      <c r="F709" s="38">
        <f>F710+F712</f>
        <v>85</v>
      </c>
      <c r="G709" s="38">
        <f t="shared" ref="G709" si="241">G710+G712</f>
        <v>70.549000000000007</v>
      </c>
      <c r="H709" s="127">
        <f t="shared" si="228"/>
        <v>82.998823529411766</v>
      </c>
    </row>
    <row r="710" spans="1:8" s="35" customFormat="1" ht="15" x14ac:dyDescent="0.2">
      <c r="A710" s="68" t="s">
        <v>294</v>
      </c>
      <c r="B710" s="29" t="s">
        <v>70</v>
      </c>
      <c r="C710" s="29" t="s">
        <v>90</v>
      </c>
      <c r="D710" s="29" t="s">
        <v>416</v>
      </c>
      <c r="E710" s="29" t="s">
        <v>84</v>
      </c>
      <c r="F710" s="37">
        <f>F711</f>
        <v>75</v>
      </c>
      <c r="G710" s="37">
        <f t="shared" ref="G710" si="242">G711</f>
        <v>70.549000000000007</v>
      </c>
      <c r="H710" s="128">
        <f t="shared" si="228"/>
        <v>94.065333333333342</v>
      </c>
    </row>
    <row r="711" spans="1:8" s="35" customFormat="1" ht="15" x14ac:dyDescent="0.2">
      <c r="A711" s="68" t="s">
        <v>85</v>
      </c>
      <c r="B711" s="29" t="s">
        <v>70</v>
      </c>
      <c r="C711" s="29" t="s">
        <v>90</v>
      </c>
      <c r="D711" s="29" t="s">
        <v>416</v>
      </c>
      <c r="E711" s="29" t="s">
        <v>86</v>
      </c>
      <c r="F711" s="114">
        <f>5+10+10+50</f>
        <v>75</v>
      </c>
      <c r="G711" s="114">
        <v>70.549000000000007</v>
      </c>
      <c r="H711" s="128">
        <f t="shared" si="228"/>
        <v>94.065333333333342</v>
      </c>
    </row>
    <row r="712" spans="1:8" s="35" customFormat="1" ht="15" x14ac:dyDescent="0.2">
      <c r="A712" s="68" t="s">
        <v>87</v>
      </c>
      <c r="B712" s="29" t="s">
        <v>70</v>
      </c>
      <c r="C712" s="29" t="s">
        <v>90</v>
      </c>
      <c r="D712" s="29" t="s">
        <v>416</v>
      </c>
      <c r="E712" s="29" t="s">
        <v>88</v>
      </c>
      <c r="F712" s="37">
        <f>F713</f>
        <v>10</v>
      </c>
      <c r="G712" s="289">
        <f t="shared" ref="G712" si="243">G713</f>
        <v>0</v>
      </c>
      <c r="H712" s="128">
        <f t="shared" si="228"/>
        <v>0</v>
      </c>
    </row>
    <row r="713" spans="1:8" s="35" customFormat="1" ht="15" x14ac:dyDescent="0.2">
      <c r="A713" s="68" t="s">
        <v>500</v>
      </c>
      <c r="B713" s="29" t="s">
        <v>70</v>
      </c>
      <c r="C713" s="29" t="s">
        <v>90</v>
      </c>
      <c r="D713" s="29" t="s">
        <v>416</v>
      </c>
      <c r="E713" s="29" t="s">
        <v>89</v>
      </c>
      <c r="F713" s="114">
        <v>10</v>
      </c>
      <c r="G713" s="212">
        <v>0</v>
      </c>
      <c r="H713" s="128">
        <f t="shared" si="228"/>
        <v>0</v>
      </c>
    </row>
    <row r="714" spans="1:8" s="35" customFormat="1" ht="27" x14ac:dyDescent="0.2">
      <c r="A714" s="124" t="s">
        <v>565</v>
      </c>
      <c r="B714" s="125" t="s">
        <v>103</v>
      </c>
      <c r="C714" s="125"/>
      <c r="D714" s="125"/>
      <c r="E714" s="125"/>
      <c r="F714" s="183">
        <f>F715</f>
        <v>358.20000000000005</v>
      </c>
      <c r="G714" s="183">
        <f t="shared" ref="G714" si="244">G715</f>
        <v>320.7</v>
      </c>
      <c r="H714" s="183">
        <f>G714/F714*100</f>
        <v>89.530988274706857</v>
      </c>
    </row>
    <row r="715" spans="1:8" s="35" customFormat="1" ht="15" x14ac:dyDescent="0.2">
      <c r="A715" s="49" t="s">
        <v>487</v>
      </c>
      <c r="B715" s="22" t="s">
        <v>489</v>
      </c>
      <c r="C715" s="22"/>
      <c r="D715" s="22"/>
      <c r="E715" s="22"/>
      <c r="F715" s="38">
        <f t="shared" ref="F715:G719" si="245">F716</f>
        <v>358.20000000000005</v>
      </c>
      <c r="G715" s="38">
        <f t="shared" si="245"/>
        <v>320.7</v>
      </c>
      <c r="H715" s="127">
        <f t="shared" si="228"/>
        <v>89.530988274706857</v>
      </c>
    </row>
    <row r="716" spans="1:8" s="35" customFormat="1" ht="15" x14ac:dyDescent="0.2">
      <c r="A716" s="49" t="s">
        <v>488</v>
      </c>
      <c r="B716" s="22" t="s">
        <v>566</v>
      </c>
      <c r="C716" s="22"/>
      <c r="D716" s="22"/>
      <c r="E716" s="22"/>
      <c r="F716" s="38">
        <f t="shared" si="245"/>
        <v>358.20000000000005</v>
      </c>
      <c r="G716" s="38">
        <f t="shared" si="245"/>
        <v>320.7</v>
      </c>
      <c r="H716" s="127">
        <f t="shared" si="228"/>
        <v>89.530988274706857</v>
      </c>
    </row>
    <row r="717" spans="1:8" s="35" customFormat="1" ht="15" x14ac:dyDescent="0.2">
      <c r="A717" s="61" t="s">
        <v>114</v>
      </c>
      <c r="B717" s="39" t="s">
        <v>566</v>
      </c>
      <c r="C717" s="22" t="s">
        <v>76</v>
      </c>
      <c r="D717" s="22"/>
      <c r="E717" s="23"/>
      <c r="F717" s="38">
        <f t="shared" si="245"/>
        <v>358.20000000000005</v>
      </c>
      <c r="G717" s="38">
        <f t="shared" si="245"/>
        <v>320.7</v>
      </c>
      <c r="H717" s="127">
        <f t="shared" si="228"/>
        <v>89.530988274706857</v>
      </c>
    </row>
    <row r="718" spans="1:8" s="35" customFormat="1" ht="15" x14ac:dyDescent="0.2">
      <c r="A718" s="61" t="s">
        <v>411</v>
      </c>
      <c r="B718" s="39" t="s">
        <v>566</v>
      </c>
      <c r="C718" s="22" t="s">
        <v>76</v>
      </c>
      <c r="D718" s="22" t="s">
        <v>93</v>
      </c>
      <c r="E718" s="23"/>
      <c r="F718" s="38">
        <f t="shared" si="245"/>
        <v>358.20000000000005</v>
      </c>
      <c r="G718" s="38">
        <f t="shared" si="245"/>
        <v>320.7</v>
      </c>
      <c r="H718" s="127">
        <f t="shared" si="228"/>
        <v>89.530988274706857</v>
      </c>
    </row>
    <row r="719" spans="1:8" s="35" customFormat="1" ht="36" x14ac:dyDescent="0.2">
      <c r="A719" s="68" t="s">
        <v>79</v>
      </c>
      <c r="B719" s="29" t="s">
        <v>566</v>
      </c>
      <c r="C719" s="29" t="s">
        <v>76</v>
      </c>
      <c r="D719" s="29" t="s">
        <v>93</v>
      </c>
      <c r="E719" s="29" t="s">
        <v>80</v>
      </c>
      <c r="F719" s="37">
        <f t="shared" si="245"/>
        <v>358.20000000000005</v>
      </c>
      <c r="G719" s="37">
        <f t="shared" si="245"/>
        <v>320.7</v>
      </c>
      <c r="H719" s="128">
        <f t="shared" si="228"/>
        <v>89.530988274706857</v>
      </c>
    </row>
    <row r="720" spans="1:8" s="35" customFormat="1" ht="15" x14ac:dyDescent="0.2">
      <c r="A720" s="68" t="s">
        <v>81</v>
      </c>
      <c r="B720" s="29" t="s">
        <v>566</v>
      </c>
      <c r="C720" s="29" t="s">
        <v>76</v>
      </c>
      <c r="D720" s="29" t="s">
        <v>93</v>
      </c>
      <c r="E720" s="29" t="s">
        <v>82</v>
      </c>
      <c r="F720" s="37">
        <f>800-241.8-200</f>
        <v>358.20000000000005</v>
      </c>
      <c r="G720" s="37">
        <v>320.7</v>
      </c>
      <c r="H720" s="128">
        <f t="shared" si="228"/>
        <v>89.530988274706857</v>
      </c>
    </row>
    <row r="721" spans="1:8" s="35" customFormat="1" ht="27" x14ac:dyDescent="0.2">
      <c r="A721" s="124" t="s">
        <v>614</v>
      </c>
      <c r="B721" s="182" t="s">
        <v>481</v>
      </c>
      <c r="C721" s="125"/>
      <c r="D721" s="125"/>
      <c r="E721" s="125"/>
      <c r="F721" s="192">
        <f>F727+F722</f>
        <v>93917.979800000001</v>
      </c>
      <c r="G721" s="192">
        <f t="shared" ref="G721" si="246">G727+G722</f>
        <v>93917.979000000007</v>
      </c>
      <c r="H721" s="192">
        <f>G721/F721*100</f>
        <v>99.999999148192927</v>
      </c>
    </row>
    <row r="722" spans="1:8" s="35" customFormat="1" ht="15" x14ac:dyDescent="0.2">
      <c r="A722" s="65" t="s">
        <v>715</v>
      </c>
      <c r="B722" s="39" t="s">
        <v>716</v>
      </c>
      <c r="C722" s="29"/>
      <c r="D722" s="29"/>
      <c r="E722" s="203"/>
      <c r="F722" s="127">
        <f>F723</f>
        <v>85917.979800000001</v>
      </c>
      <c r="G722" s="127">
        <f t="shared" ref="G722:G725" si="247">G723</f>
        <v>85917.979080000005</v>
      </c>
      <c r="H722" s="127">
        <f t="shared" si="228"/>
        <v>99.999999161991468</v>
      </c>
    </row>
    <row r="723" spans="1:8" s="35" customFormat="1" ht="15" x14ac:dyDescent="0.2">
      <c r="A723" s="49" t="s">
        <v>358</v>
      </c>
      <c r="B723" s="39" t="s">
        <v>716</v>
      </c>
      <c r="C723" s="22" t="s">
        <v>416</v>
      </c>
      <c r="D723" s="22"/>
      <c r="E723" s="203"/>
      <c r="F723" s="127">
        <f>F724</f>
        <v>85917.979800000001</v>
      </c>
      <c r="G723" s="127">
        <f t="shared" si="247"/>
        <v>85917.979080000005</v>
      </c>
      <c r="H723" s="127">
        <f t="shared" si="228"/>
        <v>99.999999161991468</v>
      </c>
    </row>
    <row r="724" spans="1:8" s="35" customFormat="1" ht="15" x14ac:dyDescent="0.2">
      <c r="A724" s="49" t="s">
        <v>362</v>
      </c>
      <c r="B724" s="39" t="s">
        <v>716</v>
      </c>
      <c r="C724" s="22" t="s">
        <v>416</v>
      </c>
      <c r="D724" s="22" t="s">
        <v>469</v>
      </c>
      <c r="E724" s="203"/>
      <c r="F724" s="127">
        <f>F725</f>
        <v>85917.979800000001</v>
      </c>
      <c r="G724" s="127">
        <f t="shared" si="247"/>
        <v>85917.979080000005</v>
      </c>
      <c r="H724" s="127">
        <f t="shared" si="228"/>
        <v>99.999999161991468</v>
      </c>
    </row>
    <row r="725" spans="1:8" s="35" customFormat="1" ht="15" x14ac:dyDescent="0.2">
      <c r="A725" s="68" t="s">
        <v>294</v>
      </c>
      <c r="B725" s="36" t="s">
        <v>716</v>
      </c>
      <c r="C725" s="29" t="s">
        <v>416</v>
      </c>
      <c r="D725" s="29" t="s">
        <v>469</v>
      </c>
      <c r="E725" s="203" t="s">
        <v>84</v>
      </c>
      <c r="F725" s="128">
        <f>F726</f>
        <v>85917.979800000001</v>
      </c>
      <c r="G725" s="128">
        <f t="shared" si="247"/>
        <v>85917.979080000005</v>
      </c>
      <c r="H725" s="128">
        <f t="shared" si="228"/>
        <v>99.999999161991468</v>
      </c>
    </row>
    <row r="726" spans="1:8" s="44" customFormat="1" x14ac:dyDescent="0.2">
      <c r="A726" s="68" t="s">
        <v>85</v>
      </c>
      <c r="B726" s="36" t="s">
        <v>716</v>
      </c>
      <c r="C726" s="29" t="s">
        <v>416</v>
      </c>
      <c r="D726" s="29" t="s">
        <v>469</v>
      </c>
      <c r="E726" s="203" t="s">
        <v>86</v>
      </c>
      <c r="F726" s="128">
        <v>85917.979800000001</v>
      </c>
      <c r="G726" s="128">
        <v>85917.979080000005</v>
      </c>
      <c r="H726" s="128">
        <f t="shared" si="228"/>
        <v>99.999999161991468</v>
      </c>
    </row>
    <row r="727" spans="1:8" s="44" customFormat="1" x14ac:dyDescent="0.2">
      <c r="A727" s="65" t="s">
        <v>45</v>
      </c>
      <c r="B727" s="39" t="s">
        <v>601</v>
      </c>
      <c r="C727" s="29"/>
      <c r="D727" s="29"/>
      <c r="E727" s="29"/>
      <c r="F727" s="83">
        <f t="shared" ref="F727:G730" si="248">F728</f>
        <v>8000</v>
      </c>
      <c r="G727" s="83">
        <f t="shared" si="248"/>
        <v>7999.9999200000002</v>
      </c>
      <c r="H727" s="127">
        <f t="shared" si="228"/>
        <v>99.999999000000003</v>
      </c>
    </row>
    <row r="728" spans="1:8" s="44" customFormat="1" x14ac:dyDescent="0.2">
      <c r="A728" s="49" t="s">
        <v>358</v>
      </c>
      <c r="B728" s="39" t="s">
        <v>601</v>
      </c>
      <c r="C728" s="22" t="s">
        <v>416</v>
      </c>
      <c r="D728" s="22"/>
      <c r="E728" s="22"/>
      <c r="F728" s="83">
        <f t="shared" si="248"/>
        <v>8000</v>
      </c>
      <c r="G728" s="83">
        <f t="shared" si="248"/>
        <v>7999.9999200000002</v>
      </c>
      <c r="H728" s="127">
        <f t="shared" si="228"/>
        <v>99.999999000000003</v>
      </c>
    </row>
    <row r="729" spans="1:8" s="44" customFormat="1" ht="15" customHeight="1" x14ac:dyDescent="0.2">
      <c r="A729" s="49" t="s">
        <v>362</v>
      </c>
      <c r="B729" s="39" t="s">
        <v>601</v>
      </c>
      <c r="C729" s="22" t="s">
        <v>416</v>
      </c>
      <c r="D729" s="22" t="s">
        <v>469</v>
      </c>
      <c r="E729" s="22"/>
      <c r="F729" s="83">
        <f t="shared" si="248"/>
        <v>8000</v>
      </c>
      <c r="G729" s="83">
        <f t="shared" si="248"/>
        <v>7999.9999200000002</v>
      </c>
      <c r="H729" s="127">
        <f t="shared" si="228"/>
        <v>99.999999000000003</v>
      </c>
    </row>
    <row r="730" spans="1:8" s="44" customFormat="1" x14ac:dyDescent="0.2">
      <c r="A730" s="68" t="s">
        <v>294</v>
      </c>
      <c r="B730" s="36" t="s">
        <v>601</v>
      </c>
      <c r="C730" s="29" t="s">
        <v>416</v>
      </c>
      <c r="D730" s="29" t="s">
        <v>469</v>
      </c>
      <c r="E730" s="29" t="s">
        <v>84</v>
      </c>
      <c r="F730" s="84">
        <f t="shared" si="248"/>
        <v>8000</v>
      </c>
      <c r="G730" s="84">
        <f t="shared" si="248"/>
        <v>7999.9999200000002</v>
      </c>
      <c r="H730" s="128">
        <f t="shared" ref="H730:H792" si="249">G730/F730*100</f>
        <v>99.999999000000003</v>
      </c>
    </row>
    <row r="731" spans="1:8" s="44" customFormat="1" x14ac:dyDescent="0.2">
      <c r="A731" s="68" t="s">
        <v>85</v>
      </c>
      <c r="B731" s="36" t="s">
        <v>601</v>
      </c>
      <c r="C731" s="29" t="s">
        <v>416</v>
      </c>
      <c r="D731" s="29" t="s">
        <v>469</v>
      </c>
      <c r="E731" s="29" t="s">
        <v>86</v>
      </c>
      <c r="F731" s="84">
        <v>8000</v>
      </c>
      <c r="G731" s="84">
        <v>7999.9999200000002</v>
      </c>
      <c r="H731" s="128">
        <f t="shared" si="249"/>
        <v>99.999999000000003</v>
      </c>
    </row>
    <row r="732" spans="1:8" s="44" customFormat="1" x14ac:dyDescent="0.2">
      <c r="A732" s="76" t="s">
        <v>404</v>
      </c>
      <c r="B732" s="77"/>
      <c r="C732" s="77"/>
      <c r="D732" s="77"/>
      <c r="E732" s="77"/>
      <c r="F732" s="75">
        <f>F733+F738+F749+F754+F767+F782+F793+F806</f>
        <v>444419.77295000001</v>
      </c>
      <c r="G732" s="75">
        <f>G733+G738+G749+G754+G767+G782+G793+G806</f>
        <v>412418.01705000002</v>
      </c>
      <c r="H732" s="75">
        <f>G732/F732*100</f>
        <v>92.799205200169979</v>
      </c>
    </row>
    <row r="733" spans="1:8" s="44" customFormat="1" ht="13.5" x14ac:dyDescent="0.2">
      <c r="A733" s="193" t="s">
        <v>156</v>
      </c>
      <c r="B733" s="125" t="s">
        <v>215</v>
      </c>
      <c r="C733" s="125"/>
      <c r="D733" s="125"/>
      <c r="E733" s="125"/>
      <c r="F733" s="183">
        <f>F734</f>
        <v>1945</v>
      </c>
      <c r="G733" s="183">
        <f>G734</f>
        <v>1741.95389</v>
      </c>
      <c r="H733" s="183">
        <f>G733/F733*100</f>
        <v>89.560611311053989</v>
      </c>
    </row>
    <row r="734" spans="1:8" s="44" customFormat="1" ht="15.75" customHeight="1" x14ac:dyDescent="0.2">
      <c r="A734" s="50" t="s">
        <v>30</v>
      </c>
      <c r="B734" s="22" t="s">
        <v>217</v>
      </c>
      <c r="C734" s="22"/>
      <c r="D734" s="22"/>
      <c r="E734" s="29"/>
      <c r="F734" s="38">
        <f>F735</f>
        <v>1945</v>
      </c>
      <c r="G734" s="38">
        <f t="shared" ref="G734:G736" si="250">G735</f>
        <v>1741.95389</v>
      </c>
      <c r="H734" s="127">
        <f t="shared" si="249"/>
        <v>89.560611311053989</v>
      </c>
    </row>
    <row r="735" spans="1:8" s="44" customFormat="1" x14ac:dyDescent="0.2">
      <c r="A735" s="49" t="s">
        <v>114</v>
      </c>
      <c r="B735" s="22" t="s">
        <v>219</v>
      </c>
      <c r="C735" s="22" t="s">
        <v>76</v>
      </c>
      <c r="D735" s="22"/>
      <c r="E735" s="22"/>
      <c r="F735" s="38">
        <f>F736</f>
        <v>1945</v>
      </c>
      <c r="G735" s="38">
        <f t="shared" si="250"/>
        <v>1741.95389</v>
      </c>
      <c r="H735" s="127">
        <f t="shared" si="249"/>
        <v>89.560611311053989</v>
      </c>
    </row>
    <row r="736" spans="1:8" s="43" customFormat="1" ht="36" x14ac:dyDescent="0.2">
      <c r="A736" s="51" t="s">
        <v>79</v>
      </c>
      <c r="B736" s="29" t="s">
        <v>219</v>
      </c>
      <c r="C736" s="29" t="s">
        <v>76</v>
      </c>
      <c r="D736" s="29" t="s">
        <v>477</v>
      </c>
      <c r="E736" s="29" t="s">
        <v>80</v>
      </c>
      <c r="F736" s="37">
        <f>F737</f>
        <v>1945</v>
      </c>
      <c r="G736" s="37">
        <f t="shared" si="250"/>
        <v>1741.95389</v>
      </c>
      <c r="H736" s="128">
        <f t="shared" si="249"/>
        <v>89.560611311053989</v>
      </c>
    </row>
    <row r="737" spans="1:8" s="43" customFormat="1" x14ac:dyDescent="0.2">
      <c r="A737" s="51" t="s">
        <v>81</v>
      </c>
      <c r="B737" s="29" t="s">
        <v>219</v>
      </c>
      <c r="C737" s="29" t="s">
        <v>76</v>
      </c>
      <c r="D737" s="29" t="s">
        <v>477</v>
      </c>
      <c r="E737" s="29" t="s">
        <v>82</v>
      </c>
      <c r="F737" s="37">
        <f>2000-55</f>
        <v>1945</v>
      </c>
      <c r="G737" s="37">
        <v>1741.95389</v>
      </c>
      <c r="H737" s="128">
        <f t="shared" si="249"/>
        <v>89.560611311053989</v>
      </c>
    </row>
    <row r="738" spans="1:8" s="44" customFormat="1" ht="13.5" x14ac:dyDescent="0.2">
      <c r="A738" s="193" t="s">
        <v>399</v>
      </c>
      <c r="B738" s="177" t="s">
        <v>220</v>
      </c>
      <c r="C738" s="125"/>
      <c r="D738" s="125"/>
      <c r="E738" s="177"/>
      <c r="F738" s="183">
        <f>F739+F743</f>
        <v>25602.7</v>
      </c>
      <c r="G738" s="183">
        <f t="shared" ref="G738" si="251">G739+G743</f>
        <v>25008.12428</v>
      </c>
      <c r="H738" s="183">
        <f>G738/F738*100</f>
        <v>97.677683525565655</v>
      </c>
    </row>
    <row r="739" spans="1:8" s="44" customFormat="1" x14ac:dyDescent="0.2">
      <c r="A739" s="50" t="s">
        <v>30</v>
      </c>
      <c r="B739" s="22" t="s">
        <v>137</v>
      </c>
      <c r="C739" s="22"/>
      <c r="D739" s="22"/>
      <c r="E739" s="29"/>
      <c r="F739" s="38">
        <f>F740</f>
        <v>19817</v>
      </c>
      <c r="G739" s="38">
        <f t="shared" ref="G739:G741" si="252">G740</f>
        <v>19615.029340000001</v>
      </c>
      <c r="H739" s="127">
        <f t="shared" si="249"/>
        <v>98.980821214109099</v>
      </c>
    </row>
    <row r="740" spans="1:8" s="44" customFormat="1" x14ac:dyDescent="0.2">
      <c r="A740" s="49" t="s">
        <v>114</v>
      </c>
      <c r="B740" s="22" t="s">
        <v>224</v>
      </c>
      <c r="C740" s="22" t="s">
        <v>76</v>
      </c>
      <c r="D740" s="23"/>
      <c r="E740" s="53"/>
      <c r="F740" s="40">
        <f>F741</f>
        <v>19817</v>
      </c>
      <c r="G740" s="40">
        <f t="shared" si="252"/>
        <v>19615.029340000001</v>
      </c>
      <c r="H740" s="129">
        <f t="shared" si="249"/>
        <v>98.980821214109099</v>
      </c>
    </row>
    <row r="741" spans="1:8" s="44" customFormat="1" ht="36" x14ac:dyDescent="0.2">
      <c r="A741" s="51" t="s">
        <v>79</v>
      </c>
      <c r="B741" s="29" t="s">
        <v>224</v>
      </c>
      <c r="C741" s="29" t="s">
        <v>76</v>
      </c>
      <c r="D741" s="29" t="s">
        <v>469</v>
      </c>
      <c r="E741" s="29" t="s">
        <v>80</v>
      </c>
      <c r="F741" s="37">
        <f>F742</f>
        <v>19817</v>
      </c>
      <c r="G741" s="37">
        <f t="shared" si="252"/>
        <v>19615.029340000001</v>
      </c>
      <c r="H741" s="128">
        <f t="shared" si="249"/>
        <v>98.980821214109099</v>
      </c>
    </row>
    <row r="742" spans="1:8" s="44" customFormat="1" x14ac:dyDescent="0.2">
      <c r="A742" s="51" t="s">
        <v>81</v>
      </c>
      <c r="B742" s="29" t="s">
        <v>224</v>
      </c>
      <c r="C742" s="29" t="s">
        <v>76</v>
      </c>
      <c r="D742" s="29" t="s">
        <v>469</v>
      </c>
      <c r="E742" s="29" t="s">
        <v>82</v>
      </c>
      <c r="F742" s="37">
        <f>19762+55</f>
        <v>19817</v>
      </c>
      <c r="G742" s="37">
        <v>19615.029340000001</v>
      </c>
      <c r="H742" s="128">
        <f t="shared" si="249"/>
        <v>98.980821214109099</v>
      </c>
    </row>
    <row r="743" spans="1:8" s="44" customFormat="1" x14ac:dyDescent="0.2">
      <c r="A743" s="49" t="s">
        <v>142</v>
      </c>
      <c r="B743" s="22" t="s">
        <v>137</v>
      </c>
      <c r="C743" s="22"/>
      <c r="D743" s="22"/>
      <c r="E743" s="29"/>
      <c r="F743" s="38">
        <f>F744</f>
        <v>5785.7</v>
      </c>
      <c r="G743" s="38">
        <f t="shared" ref="G743" si="253">G744</f>
        <v>5393.09494</v>
      </c>
      <c r="H743" s="127">
        <f t="shared" si="249"/>
        <v>93.214216775843894</v>
      </c>
    </row>
    <row r="744" spans="1:8" s="44" customFormat="1" x14ac:dyDescent="0.2">
      <c r="A744" s="49" t="s">
        <v>114</v>
      </c>
      <c r="B744" s="22" t="s">
        <v>225</v>
      </c>
      <c r="C744" s="22" t="s">
        <v>76</v>
      </c>
      <c r="D744" s="22"/>
      <c r="E744" s="29"/>
      <c r="F744" s="38">
        <f>F745+F747</f>
        <v>5785.7</v>
      </c>
      <c r="G744" s="38">
        <f t="shared" ref="G744" si="254">G745+G747</f>
        <v>5393.09494</v>
      </c>
      <c r="H744" s="127">
        <f t="shared" si="249"/>
        <v>93.214216775843894</v>
      </c>
    </row>
    <row r="745" spans="1:8" s="44" customFormat="1" ht="14.25" customHeight="1" x14ac:dyDescent="0.2">
      <c r="A745" s="51" t="s">
        <v>294</v>
      </c>
      <c r="B745" s="29" t="s">
        <v>225</v>
      </c>
      <c r="C745" s="29" t="s">
        <v>76</v>
      </c>
      <c r="D745" s="29" t="s">
        <v>469</v>
      </c>
      <c r="E745" s="29" t="s">
        <v>84</v>
      </c>
      <c r="F745" s="37">
        <f>F746</f>
        <v>5760.7</v>
      </c>
      <c r="G745" s="37">
        <f t="shared" ref="G745" si="255">G746</f>
        <v>5381.9849400000003</v>
      </c>
      <c r="H745" s="128">
        <f t="shared" si="249"/>
        <v>93.425884701511976</v>
      </c>
    </row>
    <row r="746" spans="1:8" x14ac:dyDescent="0.2">
      <c r="A746" s="51" t="s">
        <v>85</v>
      </c>
      <c r="B746" s="29" t="s">
        <v>225</v>
      </c>
      <c r="C746" s="29" t="s">
        <v>76</v>
      </c>
      <c r="D746" s="29" t="s">
        <v>469</v>
      </c>
      <c r="E746" s="29" t="s">
        <v>86</v>
      </c>
      <c r="F746" s="37">
        <f>5005+515.7+240</f>
        <v>5760.7</v>
      </c>
      <c r="G746" s="37">
        <v>5381.9849400000003</v>
      </c>
      <c r="H746" s="128">
        <f t="shared" si="249"/>
        <v>93.425884701511976</v>
      </c>
    </row>
    <row r="747" spans="1:8" s="31" customFormat="1" x14ac:dyDescent="0.2">
      <c r="A747" s="51" t="s">
        <v>87</v>
      </c>
      <c r="B747" s="29" t="s">
        <v>225</v>
      </c>
      <c r="C747" s="29" t="s">
        <v>76</v>
      </c>
      <c r="D747" s="29" t="s">
        <v>469</v>
      </c>
      <c r="E747" s="29" t="s">
        <v>88</v>
      </c>
      <c r="F747" s="37">
        <f>F748</f>
        <v>25</v>
      </c>
      <c r="G747" s="37">
        <f t="shared" ref="G747" si="256">G748</f>
        <v>11.11</v>
      </c>
      <c r="H747" s="128">
        <f t="shared" si="249"/>
        <v>44.44</v>
      </c>
    </row>
    <row r="748" spans="1:8" x14ac:dyDescent="0.2">
      <c r="A748" s="51" t="s">
        <v>500</v>
      </c>
      <c r="B748" s="29" t="s">
        <v>225</v>
      </c>
      <c r="C748" s="29" t="s">
        <v>76</v>
      </c>
      <c r="D748" s="29" t="s">
        <v>469</v>
      </c>
      <c r="E748" s="29" t="s">
        <v>89</v>
      </c>
      <c r="F748" s="37">
        <v>25</v>
      </c>
      <c r="G748" s="37">
        <v>11.11</v>
      </c>
      <c r="H748" s="128">
        <f t="shared" si="249"/>
        <v>44.44</v>
      </c>
    </row>
    <row r="749" spans="1:8" ht="27" x14ac:dyDescent="0.2">
      <c r="A749" s="193" t="s">
        <v>400</v>
      </c>
      <c r="B749" s="125" t="s">
        <v>206</v>
      </c>
      <c r="C749" s="125"/>
      <c r="D749" s="125"/>
      <c r="E749" s="125"/>
      <c r="F749" s="183">
        <f>F750</f>
        <v>1727.1408699999999</v>
      </c>
      <c r="G749" s="183">
        <f t="shared" ref="G749:G752" si="257">G750</f>
        <v>1727.1386199999999</v>
      </c>
      <c r="H749" s="183">
        <f>G749/F749*100</f>
        <v>99.999869726897259</v>
      </c>
    </row>
    <row r="750" spans="1:8" x14ac:dyDescent="0.2">
      <c r="A750" s="50" t="s">
        <v>296</v>
      </c>
      <c r="B750" s="22" t="s">
        <v>207</v>
      </c>
      <c r="C750" s="22"/>
      <c r="D750" s="22"/>
      <c r="E750" s="22"/>
      <c r="F750" s="38">
        <f>F751</f>
        <v>1727.1408699999999</v>
      </c>
      <c r="G750" s="38">
        <f t="shared" si="257"/>
        <v>1727.1386199999999</v>
      </c>
      <c r="H750" s="127">
        <f t="shared" si="249"/>
        <v>99.999869726897259</v>
      </c>
    </row>
    <row r="751" spans="1:8" s="31" customFormat="1" ht="14.25" customHeight="1" x14ac:dyDescent="0.2">
      <c r="A751" s="49" t="s">
        <v>114</v>
      </c>
      <c r="B751" s="22" t="s">
        <v>208</v>
      </c>
      <c r="C751" s="22" t="s">
        <v>76</v>
      </c>
      <c r="D751" s="22"/>
      <c r="E751" s="22"/>
      <c r="F751" s="38">
        <f>F752</f>
        <v>1727.1408699999999</v>
      </c>
      <c r="G751" s="38">
        <f t="shared" si="257"/>
        <v>1727.1386199999999</v>
      </c>
      <c r="H751" s="127">
        <f t="shared" si="249"/>
        <v>99.999869726897259</v>
      </c>
    </row>
    <row r="752" spans="1:8" s="31" customFormat="1" ht="36" x14ac:dyDescent="0.2">
      <c r="A752" s="51" t="s">
        <v>79</v>
      </c>
      <c r="B752" s="29" t="s">
        <v>208</v>
      </c>
      <c r="C752" s="29" t="s">
        <v>76</v>
      </c>
      <c r="D752" s="29" t="s">
        <v>78</v>
      </c>
      <c r="E752" s="29" t="s">
        <v>80</v>
      </c>
      <c r="F752" s="37">
        <f>F753</f>
        <v>1727.1408699999999</v>
      </c>
      <c r="G752" s="37">
        <f t="shared" si="257"/>
        <v>1727.1386199999999</v>
      </c>
      <c r="H752" s="128">
        <f t="shared" si="249"/>
        <v>99.999869726897259</v>
      </c>
    </row>
    <row r="753" spans="1:8" s="31" customFormat="1" x14ac:dyDescent="0.2">
      <c r="A753" s="51" t="s">
        <v>81</v>
      </c>
      <c r="B753" s="29" t="s">
        <v>208</v>
      </c>
      <c r="C753" s="29" t="s">
        <v>76</v>
      </c>
      <c r="D753" s="29" t="s">
        <v>78</v>
      </c>
      <c r="E753" s="29" t="s">
        <v>82</v>
      </c>
      <c r="F753" s="37">
        <f>1870-142.85913</f>
        <v>1727.1408699999999</v>
      </c>
      <c r="G753" s="37">
        <v>1727.1386199999999</v>
      </c>
      <c r="H753" s="128">
        <f t="shared" si="249"/>
        <v>99.999869726897259</v>
      </c>
    </row>
    <row r="754" spans="1:8" s="31" customFormat="1" ht="27" x14ac:dyDescent="0.2">
      <c r="A754" s="195" t="s">
        <v>402</v>
      </c>
      <c r="B754" s="125" t="s">
        <v>227</v>
      </c>
      <c r="C754" s="194"/>
      <c r="D754" s="194"/>
      <c r="E754" s="194"/>
      <c r="F754" s="183">
        <f>F755+F760</f>
        <v>15171</v>
      </c>
      <c r="G754" s="183">
        <f t="shared" ref="G754" si="258">G755+G760</f>
        <v>13648.229729999999</v>
      </c>
      <c r="H754" s="183">
        <f>G754/F754*100</f>
        <v>89.962624283171834</v>
      </c>
    </row>
    <row r="755" spans="1:8" s="31" customFormat="1" ht="24" x14ac:dyDescent="0.2">
      <c r="A755" s="50" t="s">
        <v>403</v>
      </c>
      <c r="B755" s="22" t="s">
        <v>228</v>
      </c>
      <c r="C755" s="22"/>
      <c r="D755" s="22"/>
      <c r="E755" s="22"/>
      <c r="F755" s="38">
        <f>F756</f>
        <v>13120</v>
      </c>
      <c r="G755" s="38">
        <f t="shared" ref="G755:G758" si="259">G756</f>
        <v>12015.36357</v>
      </c>
      <c r="H755" s="127">
        <f t="shared" si="249"/>
        <v>91.580515015243904</v>
      </c>
    </row>
    <row r="756" spans="1:8" s="31" customFormat="1" x14ac:dyDescent="0.2">
      <c r="A756" s="49" t="s">
        <v>114</v>
      </c>
      <c r="B756" s="22" t="s">
        <v>229</v>
      </c>
      <c r="C756" s="22" t="s">
        <v>76</v>
      </c>
      <c r="D756" s="22"/>
      <c r="E756" s="22"/>
      <c r="F756" s="38">
        <f>F757</f>
        <v>13120</v>
      </c>
      <c r="G756" s="38">
        <f t="shared" si="259"/>
        <v>12015.36357</v>
      </c>
      <c r="H756" s="127">
        <f t="shared" si="249"/>
        <v>91.580515015243904</v>
      </c>
    </row>
    <row r="757" spans="1:8" ht="24" x14ac:dyDescent="0.2">
      <c r="A757" s="49" t="s">
        <v>308</v>
      </c>
      <c r="B757" s="22" t="s">
        <v>229</v>
      </c>
      <c r="C757" s="22" t="s">
        <v>76</v>
      </c>
      <c r="D757" s="22" t="s">
        <v>295</v>
      </c>
      <c r="E757" s="22"/>
      <c r="F757" s="38">
        <f>F758</f>
        <v>13120</v>
      </c>
      <c r="G757" s="38">
        <f t="shared" si="259"/>
        <v>12015.36357</v>
      </c>
      <c r="H757" s="127">
        <f t="shared" si="249"/>
        <v>91.580515015243904</v>
      </c>
    </row>
    <row r="758" spans="1:8" s="31" customFormat="1" ht="36" x14ac:dyDescent="0.2">
      <c r="A758" s="51" t="s">
        <v>79</v>
      </c>
      <c r="B758" s="29" t="s">
        <v>229</v>
      </c>
      <c r="C758" s="29" t="s">
        <v>76</v>
      </c>
      <c r="D758" s="29" t="s">
        <v>295</v>
      </c>
      <c r="E758" s="29" t="s">
        <v>80</v>
      </c>
      <c r="F758" s="37">
        <f>F759</f>
        <v>13120</v>
      </c>
      <c r="G758" s="37">
        <f t="shared" si="259"/>
        <v>12015.36357</v>
      </c>
      <c r="H758" s="128">
        <f t="shared" si="249"/>
        <v>91.580515015243904</v>
      </c>
    </row>
    <row r="759" spans="1:8" s="31" customFormat="1" x14ac:dyDescent="0.2">
      <c r="A759" s="51" t="s">
        <v>81</v>
      </c>
      <c r="B759" s="29" t="s">
        <v>229</v>
      </c>
      <c r="C759" s="29" t="s">
        <v>76</v>
      </c>
      <c r="D759" s="29" t="s">
        <v>295</v>
      </c>
      <c r="E759" s="29" t="s">
        <v>82</v>
      </c>
      <c r="F759" s="37">
        <v>13120</v>
      </c>
      <c r="G759" s="37">
        <v>12015.36357</v>
      </c>
      <c r="H759" s="128">
        <f t="shared" si="249"/>
        <v>91.580515015243904</v>
      </c>
    </row>
    <row r="760" spans="1:8" s="31" customFormat="1" ht="24" x14ac:dyDescent="0.2">
      <c r="A760" s="49" t="s">
        <v>38</v>
      </c>
      <c r="B760" s="22" t="s">
        <v>228</v>
      </c>
      <c r="C760" s="22"/>
      <c r="D760" s="22"/>
      <c r="E760" s="22"/>
      <c r="F760" s="38">
        <f>F761</f>
        <v>2051</v>
      </c>
      <c r="G760" s="38">
        <f t="shared" ref="G760:G761" si="260">G761</f>
        <v>1632.86616</v>
      </c>
      <c r="H760" s="127">
        <f t="shared" si="249"/>
        <v>79.613172111165284</v>
      </c>
    </row>
    <row r="761" spans="1:8" s="31" customFormat="1" x14ac:dyDescent="0.2">
      <c r="A761" s="49" t="s">
        <v>114</v>
      </c>
      <c r="B761" s="22" t="s">
        <v>230</v>
      </c>
      <c r="C761" s="22" t="s">
        <v>76</v>
      </c>
      <c r="D761" s="22"/>
      <c r="E761" s="22"/>
      <c r="F761" s="38">
        <f>F762</f>
        <v>2051</v>
      </c>
      <c r="G761" s="38">
        <f t="shared" si="260"/>
        <v>1632.86616</v>
      </c>
      <c r="H761" s="127">
        <f t="shared" si="249"/>
        <v>79.613172111165284</v>
      </c>
    </row>
    <row r="762" spans="1:8" s="31" customFormat="1" ht="24" x14ac:dyDescent="0.2">
      <c r="A762" s="49" t="s">
        <v>308</v>
      </c>
      <c r="B762" s="22" t="s">
        <v>230</v>
      </c>
      <c r="C762" s="22" t="s">
        <v>76</v>
      </c>
      <c r="D762" s="22" t="s">
        <v>295</v>
      </c>
      <c r="E762" s="22"/>
      <c r="F762" s="38">
        <f>F763+F765</f>
        <v>2051</v>
      </c>
      <c r="G762" s="38">
        <f t="shared" ref="G762" si="261">G763+G765</f>
        <v>1632.86616</v>
      </c>
      <c r="H762" s="127">
        <f t="shared" si="249"/>
        <v>79.613172111165284</v>
      </c>
    </row>
    <row r="763" spans="1:8" s="31" customFormat="1" x14ac:dyDescent="0.2">
      <c r="A763" s="51" t="s">
        <v>294</v>
      </c>
      <c r="B763" s="29" t="s">
        <v>230</v>
      </c>
      <c r="C763" s="29" t="s">
        <v>76</v>
      </c>
      <c r="D763" s="29" t="s">
        <v>295</v>
      </c>
      <c r="E763" s="29" t="s">
        <v>84</v>
      </c>
      <c r="F763" s="37">
        <f>F764</f>
        <v>2013</v>
      </c>
      <c r="G763" s="37">
        <f t="shared" ref="G763" si="262">G764</f>
        <v>1604.42803</v>
      </c>
      <c r="H763" s="128">
        <f t="shared" si="249"/>
        <v>79.703329855936417</v>
      </c>
    </row>
    <row r="764" spans="1:8" s="31" customFormat="1" ht="16.5" customHeight="1" x14ac:dyDescent="0.2">
      <c r="A764" s="51" t="s">
        <v>85</v>
      </c>
      <c r="B764" s="29" t="s">
        <v>230</v>
      </c>
      <c r="C764" s="29" t="s">
        <v>76</v>
      </c>
      <c r="D764" s="29" t="s">
        <v>295</v>
      </c>
      <c r="E764" s="29" t="s">
        <v>86</v>
      </c>
      <c r="F764" s="37">
        <f>2018-5</f>
        <v>2013</v>
      </c>
      <c r="G764" s="37">
        <v>1604.42803</v>
      </c>
      <c r="H764" s="128">
        <f t="shared" si="249"/>
        <v>79.703329855936417</v>
      </c>
    </row>
    <row r="765" spans="1:8" s="31" customFormat="1" x14ac:dyDescent="0.2">
      <c r="A765" s="51" t="s">
        <v>87</v>
      </c>
      <c r="B765" s="29" t="s">
        <v>230</v>
      </c>
      <c r="C765" s="29" t="s">
        <v>76</v>
      </c>
      <c r="D765" s="29" t="s">
        <v>295</v>
      </c>
      <c r="E765" s="29" t="s">
        <v>88</v>
      </c>
      <c r="F765" s="37">
        <f>F766</f>
        <v>38</v>
      </c>
      <c r="G765" s="37">
        <f t="shared" ref="G765" si="263">G766</f>
        <v>28.438130000000001</v>
      </c>
      <c r="H765" s="128">
        <f t="shared" si="249"/>
        <v>74.837184210526317</v>
      </c>
    </row>
    <row r="766" spans="1:8" s="31" customFormat="1" x14ac:dyDescent="0.2">
      <c r="A766" s="51" t="s">
        <v>500</v>
      </c>
      <c r="B766" s="29" t="s">
        <v>230</v>
      </c>
      <c r="C766" s="29" t="s">
        <v>76</v>
      </c>
      <c r="D766" s="29" t="s">
        <v>295</v>
      </c>
      <c r="E766" s="29" t="s">
        <v>89</v>
      </c>
      <c r="F766" s="37">
        <v>38</v>
      </c>
      <c r="G766" s="37">
        <v>28.438130000000001</v>
      </c>
      <c r="H766" s="128">
        <f t="shared" si="249"/>
        <v>74.837184210526317</v>
      </c>
    </row>
    <row r="767" spans="1:8" s="31" customFormat="1" ht="13.5" x14ac:dyDescent="0.2">
      <c r="A767" s="195" t="s">
        <v>100</v>
      </c>
      <c r="B767" s="125" t="s">
        <v>209</v>
      </c>
      <c r="C767" s="194"/>
      <c r="D767" s="194"/>
      <c r="E767" s="194"/>
      <c r="F767" s="183">
        <f>F768+F775</f>
        <v>16579.599999999999</v>
      </c>
      <c r="G767" s="183">
        <f t="shared" ref="G767:H767" si="264">G768+G775</f>
        <v>15580.0452</v>
      </c>
      <c r="H767" s="183">
        <f t="shared" si="264"/>
        <v>183.92356948288759</v>
      </c>
    </row>
    <row r="768" spans="1:8" s="31" customFormat="1" x14ac:dyDescent="0.2">
      <c r="A768" s="50" t="s">
        <v>101</v>
      </c>
      <c r="B768" s="22" t="s">
        <v>210</v>
      </c>
      <c r="C768" s="22"/>
      <c r="D768" s="22"/>
      <c r="E768" s="22"/>
      <c r="F768" s="38">
        <f>F769</f>
        <v>13720</v>
      </c>
      <c r="G768" s="38">
        <f t="shared" ref="G768:G769" si="265">G769</f>
        <v>13038.02591</v>
      </c>
      <c r="H768" s="127">
        <f t="shared" si="249"/>
        <v>95.029343367346939</v>
      </c>
    </row>
    <row r="769" spans="1:8" s="31" customFormat="1" x14ac:dyDescent="0.2">
      <c r="A769" s="49" t="s">
        <v>114</v>
      </c>
      <c r="B769" s="22" t="s">
        <v>210</v>
      </c>
      <c r="C769" s="22" t="s">
        <v>76</v>
      </c>
      <c r="D769" s="22"/>
      <c r="E769" s="22"/>
      <c r="F769" s="38">
        <f>F770</f>
        <v>13720</v>
      </c>
      <c r="G769" s="38">
        <f t="shared" si="265"/>
        <v>13038.02591</v>
      </c>
      <c r="H769" s="127">
        <f t="shared" si="249"/>
        <v>95.029343367346939</v>
      </c>
    </row>
    <row r="770" spans="1:8" s="31" customFormat="1" ht="24" x14ac:dyDescent="0.2">
      <c r="A770" s="49" t="s">
        <v>308</v>
      </c>
      <c r="B770" s="22" t="s">
        <v>211</v>
      </c>
      <c r="C770" s="22" t="s">
        <v>76</v>
      </c>
      <c r="D770" s="22" t="s">
        <v>295</v>
      </c>
      <c r="E770" s="22"/>
      <c r="F770" s="38">
        <f>F771+F773</f>
        <v>13720</v>
      </c>
      <c r="G770" s="38">
        <f>G771+G773</f>
        <v>13038.02591</v>
      </c>
      <c r="H770" s="127">
        <f t="shared" si="249"/>
        <v>95.029343367346939</v>
      </c>
    </row>
    <row r="771" spans="1:8" s="31" customFormat="1" ht="36" x14ac:dyDescent="0.2">
      <c r="A771" s="51" t="s">
        <v>79</v>
      </c>
      <c r="B771" s="29" t="s">
        <v>211</v>
      </c>
      <c r="C771" s="29" t="s">
        <v>76</v>
      </c>
      <c r="D771" s="29" t="s">
        <v>295</v>
      </c>
      <c r="E771" s="29" t="s">
        <v>80</v>
      </c>
      <c r="F771" s="37">
        <f>F772</f>
        <v>13666.18554</v>
      </c>
      <c r="G771" s="37">
        <f t="shared" ref="G771" si="266">G772</f>
        <v>12984.211450000001</v>
      </c>
      <c r="H771" s="128">
        <f t="shared" si="249"/>
        <v>95.009770004922672</v>
      </c>
    </row>
    <row r="772" spans="1:8" s="31" customFormat="1" x14ac:dyDescent="0.2">
      <c r="A772" s="51" t="s">
        <v>81</v>
      </c>
      <c r="B772" s="29" t="s">
        <v>211</v>
      </c>
      <c r="C772" s="29" t="s">
        <v>76</v>
      </c>
      <c r="D772" s="29" t="s">
        <v>295</v>
      </c>
      <c r="E772" s="29" t="s">
        <v>82</v>
      </c>
      <c r="F772" s="37">
        <f>13720-50-3.81446</f>
        <v>13666.18554</v>
      </c>
      <c r="G772" s="37">
        <v>12984.211450000001</v>
      </c>
      <c r="H772" s="128">
        <f t="shared" si="249"/>
        <v>95.009770004922672</v>
      </c>
    </row>
    <row r="773" spans="1:8" s="31" customFormat="1" x14ac:dyDescent="0.2">
      <c r="A773" s="112" t="s">
        <v>95</v>
      </c>
      <c r="B773" s="29" t="s">
        <v>211</v>
      </c>
      <c r="C773" s="29" t="s">
        <v>76</v>
      </c>
      <c r="D773" s="29" t="s">
        <v>295</v>
      </c>
      <c r="E773" s="29" t="s">
        <v>94</v>
      </c>
      <c r="F773" s="37">
        <f>F774</f>
        <v>53.814459999999997</v>
      </c>
      <c r="G773" s="37">
        <f t="shared" ref="G773" si="267">G774</f>
        <v>53.814459999999997</v>
      </c>
      <c r="H773" s="128">
        <f t="shared" si="249"/>
        <v>100</v>
      </c>
    </row>
    <row r="774" spans="1:8" s="31" customFormat="1" x14ac:dyDescent="0.2">
      <c r="A774" s="112" t="s">
        <v>96</v>
      </c>
      <c r="B774" s="29" t="s">
        <v>211</v>
      </c>
      <c r="C774" s="29" t="s">
        <v>76</v>
      </c>
      <c r="D774" s="29" t="s">
        <v>295</v>
      </c>
      <c r="E774" s="29" t="s">
        <v>97</v>
      </c>
      <c r="F774" s="37">
        <f>50+3.81446</f>
        <v>53.814459999999997</v>
      </c>
      <c r="G774" s="37">
        <v>53.814459999999997</v>
      </c>
      <c r="H774" s="128">
        <f t="shared" si="249"/>
        <v>100</v>
      </c>
    </row>
    <row r="775" spans="1:8" s="31" customFormat="1" x14ac:dyDescent="0.2">
      <c r="A775" s="49" t="s">
        <v>102</v>
      </c>
      <c r="B775" s="22" t="s">
        <v>210</v>
      </c>
      <c r="C775" s="22"/>
      <c r="D775" s="22"/>
      <c r="E775" s="22"/>
      <c r="F775" s="38">
        <f>F776</f>
        <v>2859.6</v>
      </c>
      <c r="G775" s="38">
        <f t="shared" ref="G775:G776" si="268">G776</f>
        <v>2542.0192900000002</v>
      </c>
      <c r="H775" s="127">
        <f t="shared" si="249"/>
        <v>88.894226115540647</v>
      </c>
    </row>
    <row r="776" spans="1:8" s="31" customFormat="1" x14ac:dyDescent="0.2">
      <c r="A776" s="49" t="s">
        <v>114</v>
      </c>
      <c r="B776" s="22" t="s">
        <v>212</v>
      </c>
      <c r="C776" s="22" t="s">
        <v>76</v>
      </c>
      <c r="D776" s="22"/>
      <c r="E776" s="22"/>
      <c r="F776" s="38">
        <f>F777</f>
        <v>2859.6</v>
      </c>
      <c r="G776" s="38">
        <f t="shared" si="268"/>
        <v>2542.0192900000002</v>
      </c>
      <c r="H776" s="127">
        <f t="shared" si="249"/>
        <v>88.894226115540647</v>
      </c>
    </row>
    <row r="777" spans="1:8" s="31" customFormat="1" ht="24" x14ac:dyDescent="0.2">
      <c r="A777" s="49" t="s">
        <v>308</v>
      </c>
      <c r="B777" s="22" t="s">
        <v>212</v>
      </c>
      <c r="C777" s="22" t="s">
        <v>76</v>
      </c>
      <c r="D777" s="22" t="s">
        <v>295</v>
      </c>
      <c r="E777" s="22"/>
      <c r="F777" s="38">
        <f>F778+F780</f>
        <v>2859.6</v>
      </c>
      <c r="G777" s="38">
        <f t="shared" ref="G777" si="269">G778+G780</f>
        <v>2542.0192900000002</v>
      </c>
      <c r="H777" s="127">
        <f t="shared" si="249"/>
        <v>88.894226115540647</v>
      </c>
    </row>
    <row r="778" spans="1:8" s="31" customFormat="1" ht="15" customHeight="1" x14ac:dyDescent="0.2">
      <c r="A778" s="51" t="s">
        <v>294</v>
      </c>
      <c r="B778" s="29" t="s">
        <v>212</v>
      </c>
      <c r="C778" s="29" t="s">
        <v>76</v>
      </c>
      <c r="D778" s="29" t="s">
        <v>295</v>
      </c>
      <c r="E778" s="29" t="s">
        <v>84</v>
      </c>
      <c r="F778" s="37">
        <f>F779</f>
        <v>2854.6</v>
      </c>
      <c r="G778" s="37">
        <f t="shared" ref="G778" si="270">G779</f>
        <v>2542.0192900000002</v>
      </c>
      <c r="H778" s="128">
        <f t="shared" si="249"/>
        <v>89.049929587332727</v>
      </c>
    </row>
    <row r="779" spans="1:8" s="31" customFormat="1" x14ac:dyDescent="0.2">
      <c r="A779" s="51" t="s">
        <v>85</v>
      </c>
      <c r="B779" s="29" t="s">
        <v>212</v>
      </c>
      <c r="C779" s="29" t="s">
        <v>76</v>
      </c>
      <c r="D779" s="29" t="s">
        <v>295</v>
      </c>
      <c r="E779" s="29" t="s">
        <v>86</v>
      </c>
      <c r="F779" s="37">
        <v>2854.6</v>
      </c>
      <c r="G779" s="37">
        <v>2542.0192900000002</v>
      </c>
      <c r="H779" s="128">
        <f t="shared" si="249"/>
        <v>89.049929587332727</v>
      </c>
    </row>
    <row r="780" spans="1:8" s="31" customFormat="1" x14ac:dyDescent="0.2">
      <c r="A780" s="51" t="s">
        <v>87</v>
      </c>
      <c r="B780" s="29" t="s">
        <v>212</v>
      </c>
      <c r="C780" s="29" t="s">
        <v>76</v>
      </c>
      <c r="D780" s="29" t="s">
        <v>295</v>
      </c>
      <c r="E780" s="29" t="s">
        <v>88</v>
      </c>
      <c r="F780" s="37">
        <f>F781</f>
        <v>5</v>
      </c>
      <c r="G780" s="289">
        <f t="shared" ref="G780" si="271">G781</f>
        <v>0</v>
      </c>
      <c r="H780" s="128">
        <f t="shared" si="249"/>
        <v>0</v>
      </c>
    </row>
    <row r="781" spans="1:8" s="31" customFormat="1" x14ac:dyDescent="0.2">
      <c r="A781" s="51" t="s">
        <v>500</v>
      </c>
      <c r="B781" s="29" t="s">
        <v>212</v>
      </c>
      <c r="C781" s="29" t="s">
        <v>76</v>
      </c>
      <c r="D781" s="29" t="s">
        <v>295</v>
      </c>
      <c r="E781" s="29" t="s">
        <v>89</v>
      </c>
      <c r="F781" s="37">
        <v>5</v>
      </c>
      <c r="G781" s="289">
        <v>0</v>
      </c>
      <c r="H781" s="128">
        <f t="shared" si="249"/>
        <v>0</v>
      </c>
    </row>
    <row r="782" spans="1:8" s="31" customFormat="1" ht="13.5" x14ac:dyDescent="0.2">
      <c r="A782" s="195" t="s">
        <v>401</v>
      </c>
      <c r="B782" s="125" t="s">
        <v>209</v>
      </c>
      <c r="C782" s="125"/>
      <c r="D782" s="125"/>
      <c r="E782" s="194"/>
      <c r="F782" s="183">
        <f>F783+F787</f>
        <v>131771.87351</v>
      </c>
      <c r="G782" s="183">
        <f t="shared" ref="G782" si="272">G783+G787</f>
        <v>125032.07459</v>
      </c>
      <c r="H782" s="183">
        <f>G782/F782*100</f>
        <v>94.885252261751802</v>
      </c>
    </row>
    <row r="783" spans="1:8" s="31" customFormat="1" x14ac:dyDescent="0.2">
      <c r="A783" s="50" t="s">
        <v>296</v>
      </c>
      <c r="B783" s="22" t="s">
        <v>210</v>
      </c>
      <c r="C783" s="22"/>
      <c r="D783" s="22"/>
      <c r="E783" s="22"/>
      <c r="F783" s="38">
        <f>F784</f>
        <v>110931.37351</v>
      </c>
      <c r="G783" s="38">
        <f>G784</f>
        <v>109606.24523</v>
      </c>
      <c r="H783" s="127">
        <f t="shared" si="249"/>
        <v>98.805452201598726</v>
      </c>
    </row>
    <row r="784" spans="1:8" s="31" customFormat="1" x14ac:dyDescent="0.2">
      <c r="A784" s="49" t="s">
        <v>114</v>
      </c>
      <c r="B784" s="22" t="s">
        <v>211</v>
      </c>
      <c r="C784" s="22" t="s">
        <v>76</v>
      </c>
      <c r="D784" s="22"/>
      <c r="E784" s="22"/>
      <c r="F784" s="38">
        <f>F785</f>
        <v>110931.37351</v>
      </c>
      <c r="G784" s="38">
        <f>G785</f>
        <v>109606.24523</v>
      </c>
      <c r="H784" s="127">
        <f t="shared" si="249"/>
        <v>98.805452201598726</v>
      </c>
    </row>
    <row r="785" spans="1:8" s="31" customFormat="1" ht="36" x14ac:dyDescent="0.2">
      <c r="A785" s="51" t="s">
        <v>79</v>
      </c>
      <c r="B785" s="29" t="s">
        <v>211</v>
      </c>
      <c r="C785" s="29" t="s">
        <v>76</v>
      </c>
      <c r="D785" s="29" t="s">
        <v>78</v>
      </c>
      <c r="E785" s="29" t="s">
        <v>80</v>
      </c>
      <c r="F785" s="37">
        <f>F786</f>
        <v>110931.37351</v>
      </c>
      <c r="G785" s="37">
        <f t="shared" ref="G785" si="273">G786</f>
        <v>109606.24523</v>
      </c>
      <c r="H785" s="128">
        <f t="shared" si="249"/>
        <v>98.805452201598726</v>
      </c>
    </row>
    <row r="786" spans="1:8" s="31" customFormat="1" x14ac:dyDescent="0.2">
      <c r="A786" s="51" t="s">
        <v>81</v>
      </c>
      <c r="B786" s="29" t="s">
        <v>211</v>
      </c>
      <c r="C786" s="29" t="s">
        <v>76</v>
      </c>
      <c r="D786" s="29" t="s">
        <v>78</v>
      </c>
      <c r="E786" s="29" t="s">
        <v>82</v>
      </c>
      <c r="F786" s="37">
        <f>109840+192.58616+361+550-3462.21265+100+3350</f>
        <v>110931.37351</v>
      </c>
      <c r="G786" s="37">
        <v>109606.24523</v>
      </c>
      <c r="H786" s="128">
        <f t="shared" si="249"/>
        <v>98.805452201598726</v>
      </c>
    </row>
    <row r="787" spans="1:8" s="31" customFormat="1" x14ac:dyDescent="0.2">
      <c r="A787" s="49" t="s">
        <v>83</v>
      </c>
      <c r="B787" s="22" t="s">
        <v>210</v>
      </c>
      <c r="C787" s="22"/>
      <c r="D787" s="22"/>
      <c r="E787" s="22"/>
      <c r="F787" s="38">
        <f>F788</f>
        <v>20840.5</v>
      </c>
      <c r="G787" s="38">
        <f t="shared" ref="G787" si="274">G788</f>
        <v>15425.82936</v>
      </c>
      <c r="H787" s="127">
        <f t="shared" si="249"/>
        <v>74.018518557616176</v>
      </c>
    </row>
    <row r="788" spans="1:8" s="31" customFormat="1" x14ac:dyDescent="0.2">
      <c r="A788" s="49" t="s">
        <v>114</v>
      </c>
      <c r="B788" s="22" t="s">
        <v>212</v>
      </c>
      <c r="C788" s="22" t="s">
        <v>76</v>
      </c>
      <c r="D788" s="22"/>
      <c r="E788" s="22"/>
      <c r="F788" s="38">
        <f>F789+F791</f>
        <v>20840.5</v>
      </c>
      <c r="G788" s="38">
        <f t="shared" ref="G788" si="275">G789+G791</f>
        <v>15425.82936</v>
      </c>
      <c r="H788" s="127">
        <f t="shared" si="249"/>
        <v>74.018518557616176</v>
      </c>
    </row>
    <row r="789" spans="1:8" s="31" customFormat="1" x14ac:dyDescent="0.2">
      <c r="A789" s="51" t="s">
        <v>294</v>
      </c>
      <c r="B789" s="29" t="s">
        <v>212</v>
      </c>
      <c r="C789" s="29" t="s">
        <v>76</v>
      </c>
      <c r="D789" s="29" t="s">
        <v>78</v>
      </c>
      <c r="E789" s="29" t="s">
        <v>84</v>
      </c>
      <c r="F789" s="37">
        <f>F790</f>
        <v>19503.5</v>
      </c>
      <c r="G789" s="37">
        <f t="shared" ref="G789" si="276">G790</f>
        <v>14179.232190000001</v>
      </c>
      <c r="H789" s="128">
        <f t="shared" si="249"/>
        <v>72.700962340092815</v>
      </c>
    </row>
    <row r="790" spans="1:8" s="31" customFormat="1" ht="15" customHeight="1" x14ac:dyDescent="0.2">
      <c r="A790" s="51" t="s">
        <v>85</v>
      </c>
      <c r="B790" s="29" t="s">
        <v>212</v>
      </c>
      <c r="C790" s="29" t="s">
        <v>76</v>
      </c>
      <c r="D790" s="29" t="s">
        <v>78</v>
      </c>
      <c r="E790" s="29" t="s">
        <v>86</v>
      </c>
      <c r="F790" s="37">
        <f>22745+300-265-50+20+50+7.5+3+17+16+10-3350</f>
        <v>19503.5</v>
      </c>
      <c r="G790" s="37">
        <v>14179.232190000001</v>
      </c>
      <c r="H790" s="128">
        <f t="shared" si="249"/>
        <v>72.700962340092815</v>
      </c>
    </row>
    <row r="791" spans="1:8" s="31" customFormat="1" x14ac:dyDescent="0.2">
      <c r="A791" s="51" t="s">
        <v>87</v>
      </c>
      <c r="B791" s="29" t="s">
        <v>212</v>
      </c>
      <c r="C791" s="29" t="s">
        <v>76</v>
      </c>
      <c r="D791" s="29" t="s">
        <v>78</v>
      </c>
      <c r="E791" s="29" t="s">
        <v>88</v>
      </c>
      <c r="F791" s="37">
        <f>F792</f>
        <v>1337</v>
      </c>
      <c r="G791" s="37">
        <f t="shared" ref="G791" si="277">G792</f>
        <v>1246.59717</v>
      </c>
      <c r="H791" s="128">
        <f t="shared" si="249"/>
        <v>93.238382198952891</v>
      </c>
    </row>
    <row r="792" spans="1:8" s="31" customFormat="1" x14ac:dyDescent="0.2">
      <c r="A792" s="51" t="s">
        <v>500</v>
      </c>
      <c r="B792" s="29" t="s">
        <v>212</v>
      </c>
      <c r="C792" s="29" t="s">
        <v>76</v>
      </c>
      <c r="D792" s="29" t="s">
        <v>78</v>
      </c>
      <c r="E792" s="29" t="s">
        <v>89</v>
      </c>
      <c r="F792" s="37">
        <f>831+500-8.323+40-25.677</f>
        <v>1337</v>
      </c>
      <c r="G792" s="37">
        <v>1246.59717</v>
      </c>
      <c r="H792" s="128">
        <f t="shared" si="249"/>
        <v>93.238382198952891</v>
      </c>
    </row>
    <row r="793" spans="1:8" s="31" customFormat="1" ht="13.5" x14ac:dyDescent="0.2">
      <c r="A793" s="195" t="s">
        <v>401</v>
      </c>
      <c r="B793" s="125" t="s">
        <v>209</v>
      </c>
      <c r="C793" s="125"/>
      <c r="D793" s="125"/>
      <c r="E793" s="125"/>
      <c r="F793" s="183">
        <f>F794+F799</f>
        <v>6630</v>
      </c>
      <c r="G793" s="183">
        <f t="shared" ref="G793" si="278">G794+G799</f>
        <v>6218.4628000000002</v>
      </c>
      <c r="H793" s="183">
        <f>G793/F793*100</f>
        <v>93.792802413273009</v>
      </c>
    </row>
    <row r="794" spans="1:8" s="31" customFormat="1" x14ac:dyDescent="0.2">
      <c r="A794" s="50" t="s">
        <v>296</v>
      </c>
      <c r="B794" s="22" t="s">
        <v>210</v>
      </c>
      <c r="C794" s="22"/>
      <c r="D794" s="22"/>
      <c r="E794" s="22"/>
      <c r="F794" s="38">
        <f>F795</f>
        <v>5670</v>
      </c>
      <c r="G794" s="38">
        <f t="shared" ref="G794:G797" si="279">G795</f>
        <v>5448.88465</v>
      </c>
      <c r="H794" s="127">
        <f t="shared" ref="H794:H857" si="280">G794/F794*100</f>
        <v>96.100258377425035</v>
      </c>
    </row>
    <row r="795" spans="1:8" s="31" customFormat="1" x14ac:dyDescent="0.2">
      <c r="A795" s="49" t="s">
        <v>358</v>
      </c>
      <c r="B795" s="22" t="s">
        <v>211</v>
      </c>
      <c r="C795" s="22" t="s">
        <v>416</v>
      </c>
      <c r="D795" s="22"/>
      <c r="E795" s="22"/>
      <c r="F795" s="38">
        <f>F796</f>
        <v>5670</v>
      </c>
      <c r="G795" s="38">
        <f t="shared" si="279"/>
        <v>5448.88465</v>
      </c>
      <c r="H795" s="127">
        <f t="shared" si="280"/>
        <v>96.100258377425035</v>
      </c>
    </row>
    <row r="796" spans="1:8" s="31" customFormat="1" x14ac:dyDescent="0.2">
      <c r="A796" s="52" t="s">
        <v>363</v>
      </c>
      <c r="B796" s="22" t="s">
        <v>211</v>
      </c>
      <c r="C796" s="22" t="s">
        <v>416</v>
      </c>
      <c r="D796" s="22" t="s">
        <v>416</v>
      </c>
      <c r="E796" s="22"/>
      <c r="F796" s="38">
        <f>F797</f>
        <v>5670</v>
      </c>
      <c r="G796" s="38">
        <f t="shared" si="279"/>
        <v>5448.88465</v>
      </c>
      <c r="H796" s="127">
        <f t="shared" si="280"/>
        <v>96.100258377425035</v>
      </c>
    </row>
    <row r="797" spans="1:8" s="31" customFormat="1" ht="36" x14ac:dyDescent="0.2">
      <c r="A797" s="51" t="s">
        <v>79</v>
      </c>
      <c r="B797" s="29" t="s">
        <v>211</v>
      </c>
      <c r="C797" s="29" t="s">
        <v>416</v>
      </c>
      <c r="D797" s="29" t="s">
        <v>416</v>
      </c>
      <c r="E797" s="29" t="s">
        <v>80</v>
      </c>
      <c r="F797" s="37">
        <f>F798</f>
        <v>5670</v>
      </c>
      <c r="G797" s="37">
        <f t="shared" si="279"/>
        <v>5448.88465</v>
      </c>
      <c r="H797" s="128">
        <f t="shared" si="280"/>
        <v>96.100258377425035</v>
      </c>
    </row>
    <row r="798" spans="1:8" s="31" customFormat="1" x14ac:dyDescent="0.2">
      <c r="A798" s="51" t="s">
        <v>81</v>
      </c>
      <c r="B798" s="29" t="s">
        <v>211</v>
      </c>
      <c r="C798" s="29" t="s">
        <v>416</v>
      </c>
      <c r="D798" s="29" t="s">
        <v>416</v>
      </c>
      <c r="E798" s="29" t="s">
        <v>82</v>
      </c>
      <c r="F798" s="37">
        <v>5670</v>
      </c>
      <c r="G798" s="37">
        <v>5448.88465</v>
      </c>
      <c r="H798" s="128">
        <f t="shared" si="280"/>
        <v>96.100258377425035</v>
      </c>
    </row>
    <row r="799" spans="1:8" s="31" customFormat="1" x14ac:dyDescent="0.2">
      <c r="A799" s="49" t="s">
        <v>83</v>
      </c>
      <c r="B799" s="22" t="s">
        <v>210</v>
      </c>
      <c r="C799" s="22"/>
      <c r="D799" s="22"/>
      <c r="E799" s="22"/>
      <c r="F799" s="38">
        <f>F800</f>
        <v>960</v>
      </c>
      <c r="G799" s="38">
        <f t="shared" ref="G799:G800" si="281">G800</f>
        <v>769.57814999999994</v>
      </c>
      <c r="H799" s="127">
        <f t="shared" si="280"/>
        <v>80.164390624999996</v>
      </c>
    </row>
    <row r="800" spans="1:8" s="31" customFormat="1" x14ac:dyDescent="0.2">
      <c r="A800" s="49" t="s">
        <v>358</v>
      </c>
      <c r="B800" s="22" t="s">
        <v>212</v>
      </c>
      <c r="C800" s="22" t="s">
        <v>416</v>
      </c>
      <c r="D800" s="22"/>
      <c r="E800" s="22"/>
      <c r="F800" s="38">
        <f>F801</f>
        <v>960</v>
      </c>
      <c r="G800" s="38">
        <f t="shared" si="281"/>
        <v>769.57814999999994</v>
      </c>
      <c r="H800" s="127">
        <f t="shared" si="280"/>
        <v>80.164390624999996</v>
      </c>
    </row>
    <row r="801" spans="1:8" s="31" customFormat="1" x14ac:dyDescent="0.2">
      <c r="A801" s="52" t="s">
        <v>363</v>
      </c>
      <c r="B801" s="29" t="s">
        <v>212</v>
      </c>
      <c r="C801" s="22" t="s">
        <v>416</v>
      </c>
      <c r="D801" s="22" t="s">
        <v>416</v>
      </c>
      <c r="E801" s="22"/>
      <c r="F801" s="38">
        <f>F802+F804</f>
        <v>960</v>
      </c>
      <c r="G801" s="38">
        <f t="shared" ref="G801" si="282">G802+G804</f>
        <v>769.57814999999994</v>
      </c>
      <c r="H801" s="127">
        <f t="shared" si="280"/>
        <v>80.164390624999996</v>
      </c>
    </row>
    <row r="802" spans="1:8" s="31" customFormat="1" x14ac:dyDescent="0.2">
      <c r="A802" s="51" t="s">
        <v>294</v>
      </c>
      <c r="B802" s="29" t="s">
        <v>212</v>
      </c>
      <c r="C802" s="29" t="s">
        <v>416</v>
      </c>
      <c r="D802" s="29" t="s">
        <v>416</v>
      </c>
      <c r="E802" s="29" t="s">
        <v>84</v>
      </c>
      <c r="F802" s="37">
        <f>F803</f>
        <v>810</v>
      </c>
      <c r="G802" s="37">
        <f t="shared" ref="G802" si="283">G803</f>
        <v>762.90926999999999</v>
      </c>
      <c r="H802" s="128">
        <f t="shared" si="280"/>
        <v>94.186329629629626</v>
      </c>
    </row>
    <row r="803" spans="1:8" s="31" customFormat="1" x14ac:dyDescent="0.2">
      <c r="A803" s="51" t="s">
        <v>85</v>
      </c>
      <c r="B803" s="29" t="s">
        <v>212</v>
      </c>
      <c r="C803" s="29" t="s">
        <v>416</v>
      </c>
      <c r="D803" s="29" t="s">
        <v>416</v>
      </c>
      <c r="E803" s="29" t="s">
        <v>86</v>
      </c>
      <c r="F803" s="37">
        <v>810</v>
      </c>
      <c r="G803" s="37">
        <v>762.90926999999999</v>
      </c>
      <c r="H803" s="128">
        <f t="shared" si="280"/>
        <v>94.186329629629626</v>
      </c>
    </row>
    <row r="804" spans="1:8" s="31" customFormat="1" x14ac:dyDescent="0.2">
      <c r="A804" s="51" t="s">
        <v>87</v>
      </c>
      <c r="B804" s="29" t="s">
        <v>212</v>
      </c>
      <c r="C804" s="29" t="s">
        <v>416</v>
      </c>
      <c r="D804" s="29" t="s">
        <v>416</v>
      </c>
      <c r="E804" s="29" t="s">
        <v>88</v>
      </c>
      <c r="F804" s="37">
        <f>F805</f>
        <v>150</v>
      </c>
      <c r="G804" s="37">
        <f t="shared" ref="G804" si="284">G805</f>
        <v>6.6688799999999997</v>
      </c>
      <c r="H804" s="128">
        <f t="shared" si="280"/>
        <v>4.4459200000000001</v>
      </c>
    </row>
    <row r="805" spans="1:8" s="31" customFormat="1" x14ac:dyDescent="0.2">
      <c r="A805" s="51" t="s">
        <v>500</v>
      </c>
      <c r="B805" s="29" t="s">
        <v>212</v>
      </c>
      <c r="C805" s="29" t="s">
        <v>416</v>
      </c>
      <c r="D805" s="29" t="s">
        <v>416</v>
      </c>
      <c r="E805" s="29" t="s">
        <v>89</v>
      </c>
      <c r="F805" s="37">
        <v>150</v>
      </c>
      <c r="G805" s="37">
        <v>6.6688799999999997</v>
      </c>
      <c r="H805" s="128">
        <f t="shared" si="280"/>
        <v>4.4459200000000001</v>
      </c>
    </row>
    <row r="806" spans="1:8" s="31" customFormat="1" x14ac:dyDescent="0.2">
      <c r="A806" s="63" t="s">
        <v>297</v>
      </c>
      <c r="B806" s="55"/>
      <c r="C806" s="55"/>
      <c r="D806" s="55"/>
      <c r="E806" s="55"/>
      <c r="F806" s="78">
        <f>F807+F816+F825+F830+F839+F844+F849+F854+F863+F868+F873+F878+F884+F895+F900+F905+F912+F918+F923+F928+F939+F945+F950+F955+F960+F965</f>
        <v>244992.45857000002</v>
      </c>
      <c r="G806" s="78">
        <f>G807+G816+G825+G830+G839+G844+G849+G854+G863+G868+G873+G878+G884+G895+G900+G905+G912+G918+G923+G928+G939+G945+G950+G955+G960+G965</f>
        <v>223461.98794000002</v>
      </c>
      <c r="H806" s="78">
        <f>G806/F806*100</f>
        <v>91.211782290903358</v>
      </c>
    </row>
    <row r="807" spans="1:8" s="31" customFormat="1" ht="13.5" x14ac:dyDescent="0.2">
      <c r="A807" s="193" t="s">
        <v>91</v>
      </c>
      <c r="B807" s="125" t="s">
        <v>210</v>
      </c>
      <c r="C807" s="125"/>
      <c r="D807" s="125"/>
      <c r="E807" s="125"/>
      <c r="F807" s="183">
        <f>F808+F812</f>
        <v>8600</v>
      </c>
      <c r="G807" s="183">
        <f t="shared" ref="G807" si="285">G808+G812</f>
        <v>300</v>
      </c>
      <c r="H807" s="183">
        <f>G807/F807*100</f>
        <v>3.4883720930232558</v>
      </c>
    </row>
    <row r="808" spans="1:8" s="31" customFormat="1" ht="13.5" customHeight="1" x14ac:dyDescent="0.2">
      <c r="A808" s="49" t="s">
        <v>114</v>
      </c>
      <c r="B808" s="22" t="s">
        <v>314</v>
      </c>
      <c r="C808" s="22" t="s">
        <v>76</v>
      </c>
      <c r="D808" s="22"/>
      <c r="E808" s="22"/>
      <c r="F808" s="38">
        <f>F809</f>
        <v>8300</v>
      </c>
      <c r="G808" s="290">
        <f t="shared" ref="G808:G810" si="286">G809</f>
        <v>0</v>
      </c>
      <c r="H808" s="127">
        <f t="shared" si="280"/>
        <v>0</v>
      </c>
    </row>
    <row r="809" spans="1:8" s="31" customFormat="1" x14ac:dyDescent="0.2">
      <c r="A809" s="49" t="s">
        <v>310</v>
      </c>
      <c r="B809" s="22" t="s">
        <v>314</v>
      </c>
      <c r="C809" s="22" t="s">
        <v>76</v>
      </c>
      <c r="D809" s="22" t="s">
        <v>90</v>
      </c>
      <c r="E809" s="29"/>
      <c r="F809" s="38">
        <f>F810</f>
        <v>8300</v>
      </c>
      <c r="G809" s="290">
        <f t="shared" si="286"/>
        <v>0</v>
      </c>
      <c r="H809" s="127">
        <f t="shared" si="280"/>
        <v>0</v>
      </c>
    </row>
    <row r="810" spans="1:8" s="31" customFormat="1" x14ac:dyDescent="0.2">
      <c r="A810" s="51" t="s">
        <v>87</v>
      </c>
      <c r="B810" s="29" t="s">
        <v>314</v>
      </c>
      <c r="C810" s="29" t="s">
        <v>76</v>
      </c>
      <c r="D810" s="29" t="s">
        <v>90</v>
      </c>
      <c r="E810" s="29" t="s">
        <v>88</v>
      </c>
      <c r="F810" s="37">
        <f>F811</f>
        <v>8300</v>
      </c>
      <c r="G810" s="289">
        <f t="shared" si="286"/>
        <v>0</v>
      </c>
      <c r="H810" s="127">
        <f t="shared" si="280"/>
        <v>0</v>
      </c>
    </row>
    <row r="811" spans="1:8" s="31" customFormat="1" x14ac:dyDescent="0.2">
      <c r="A811" s="51" t="s">
        <v>92</v>
      </c>
      <c r="B811" s="29" t="s">
        <v>314</v>
      </c>
      <c r="C811" s="29" t="s">
        <v>76</v>
      </c>
      <c r="D811" s="29" t="s">
        <v>90</v>
      </c>
      <c r="E811" s="29" t="s">
        <v>421</v>
      </c>
      <c r="F811" s="37">
        <f>3000+10000-4400-300</f>
        <v>8300</v>
      </c>
      <c r="G811" s="289">
        <v>0</v>
      </c>
      <c r="H811" s="127">
        <f t="shared" si="280"/>
        <v>0</v>
      </c>
    </row>
    <row r="812" spans="1:8" s="31" customFormat="1" x14ac:dyDescent="0.2">
      <c r="A812" s="146" t="s">
        <v>389</v>
      </c>
      <c r="B812" s="104" t="s">
        <v>314</v>
      </c>
      <c r="C812" s="104" t="s">
        <v>501</v>
      </c>
      <c r="D812" s="104"/>
      <c r="E812" s="113"/>
      <c r="F812" s="105">
        <f>F814</f>
        <v>300</v>
      </c>
      <c r="G812" s="105">
        <f t="shared" ref="G812" si="287">G814</f>
        <v>300</v>
      </c>
      <c r="H812" s="127">
        <f t="shared" si="280"/>
        <v>100</v>
      </c>
    </row>
    <row r="813" spans="1:8" s="31" customFormat="1" x14ac:dyDescent="0.2">
      <c r="A813" s="146" t="s">
        <v>377</v>
      </c>
      <c r="B813" s="104" t="s">
        <v>314</v>
      </c>
      <c r="C813" s="104" t="s">
        <v>501</v>
      </c>
      <c r="D813" s="104" t="s">
        <v>469</v>
      </c>
      <c r="E813" s="113"/>
      <c r="F813" s="105">
        <f>F814</f>
        <v>300</v>
      </c>
      <c r="G813" s="105">
        <f t="shared" ref="G813:G814" si="288">G814</f>
        <v>300</v>
      </c>
      <c r="H813" s="127">
        <f t="shared" si="280"/>
        <v>100</v>
      </c>
    </row>
    <row r="814" spans="1:8" s="31" customFormat="1" x14ac:dyDescent="0.2">
      <c r="A814" s="112" t="s">
        <v>95</v>
      </c>
      <c r="B814" s="113" t="s">
        <v>314</v>
      </c>
      <c r="C814" s="113" t="s">
        <v>501</v>
      </c>
      <c r="D814" s="113" t="s">
        <v>469</v>
      </c>
      <c r="E814" s="113" t="s">
        <v>94</v>
      </c>
      <c r="F814" s="114">
        <f>F815</f>
        <v>300</v>
      </c>
      <c r="G814" s="114">
        <f t="shared" si="288"/>
        <v>300</v>
      </c>
      <c r="H814" s="128">
        <f t="shared" si="280"/>
        <v>100</v>
      </c>
    </row>
    <row r="815" spans="1:8" s="31" customFormat="1" x14ac:dyDescent="0.2">
      <c r="A815" s="112" t="s">
        <v>96</v>
      </c>
      <c r="B815" s="113" t="s">
        <v>314</v>
      </c>
      <c r="C815" s="113" t="s">
        <v>501</v>
      </c>
      <c r="D815" s="113" t="s">
        <v>469</v>
      </c>
      <c r="E815" s="113" t="s">
        <v>97</v>
      </c>
      <c r="F815" s="114">
        <v>300</v>
      </c>
      <c r="G815" s="114">
        <v>300</v>
      </c>
      <c r="H815" s="128">
        <f t="shared" si="280"/>
        <v>100</v>
      </c>
    </row>
    <row r="816" spans="1:8" s="31" customFormat="1" ht="27" x14ac:dyDescent="0.2">
      <c r="A816" s="193" t="s">
        <v>50</v>
      </c>
      <c r="B816" s="125" t="s">
        <v>210</v>
      </c>
      <c r="C816" s="125"/>
      <c r="D816" s="125"/>
      <c r="E816" s="125"/>
      <c r="F816" s="183">
        <f>F817</f>
        <v>42202</v>
      </c>
      <c r="G816" s="183">
        <f t="shared" ref="G816:G817" si="289">G817</f>
        <v>42163.167240000002</v>
      </c>
      <c r="H816" s="183">
        <f>G816/F816*100</f>
        <v>99.907983602672871</v>
      </c>
    </row>
    <row r="817" spans="1:8" s="31" customFormat="1" x14ac:dyDescent="0.2">
      <c r="A817" s="49" t="s">
        <v>114</v>
      </c>
      <c r="B817" s="22" t="s">
        <v>315</v>
      </c>
      <c r="C817" s="34" t="s">
        <v>76</v>
      </c>
      <c r="D817" s="34"/>
      <c r="E817" s="34"/>
      <c r="F817" s="79">
        <f>F818</f>
        <v>42202</v>
      </c>
      <c r="G817" s="79">
        <f t="shared" si="289"/>
        <v>42163.167240000002</v>
      </c>
      <c r="H817" s="127">
        <f t="shared" si="280"/>
        <v>99.907983602672871</v>
      </c>
    </row>
    <row r="818" spans="1:8" s="31" customFormat="1" x14ac:dyDescent="0.2">
      <c r="A818" s="49" t="s">
        <v>411</v>
      </c>
      <c r="B818" s="22" t="s">
        <v>315</v>
      </c>
      <c r="C818" s="34" t="s">
        <v>76</v>
      </c>
      <c r="D818" s="34" t="s">
        <v>93</v>
      </c>
      <c r="E818" s="34"/>
      <c r="F818" s="79">
        <f>F819+F821+F823</f>
        <v>42202</v>
      </c>
      <c r="G818" s="79">
        <f t="shared" ref="G818" si="290">G819+G821+G823</f>
        <v>42163.167240000002</v>
      </c>
      <c r="H818" s="127">
        <f t="shared" si="280"/>
        <v>99.907983602672871</v>
      </c>
    </row>
    <row r="819" spans="1:8" s="31" customFormat="1" ht="13.5" customHeight="1" x14ac:dyDescent="0.2">
      <c r="A819" s="51" t="s">
        <v>79</v>
      </c>
      <c r="B819" s="29" t="s">
        <v>315</v>
      </c>
      <c r="C819" s="29" t="s">
        <v>76</v>
      </c>
      <c r="D819" s="29" t="s">
        <v>93</v>
      </c>
      <c r="E819" s="29" t="s">
        <v>80</v>
      </c>
      <c r="F819" s="37">
        <f>F820</f>
        <v>35160</v>
      </c>
      <c r="G819" s="37">
        <f t="shared" ref="G819" si="291">G820</f>
        <v>35160</v>
      </c>
      <c r="H819" s="128">
        <f t="shared" si="280"/>
        <v>100</v>
      </c>
    </row>
    <row r="820" spans="1:8" s="31" customFormat="1" x14ac:dyDescent="0.2">
      <c r="A820" s="51" t="s">
        <v>472</v>
      </c>
      <c r="B820" s="29" t="s">
        <v>315</v>
      </c>
      <c r="C820" s="29" t="s">
        <v>76</v>
      </c>
      <c r="D820" s="29" t="s">
        <v>93</v>
      </c>
      <c r="E820" s="29" t="s">
        <v>473</v>
      </c>
      <c r="F820" s="37">
        <f>34260-1000+1900</f>
        <v>35160</v>
      </c>
      <c r="G820" s="37">
        <v>35160</v>
      </c>
      <c r="H820" s="128">
        <f t="shared" si="280"/>
        <v>100</v>
      </c>
    </row>
    <row r="821" spans="1:8" s="31" customFormat="1" x14ac:dyDescent="0.2">
      <c r="A821" s="51" t="s">
        <v>294</v>
      </c>
      <c r="B821" s="29" t="s">
        <v>315</v>
      </c>
      <c r="C821" s="29" t="s">
        <v>76</v>
      </c>
      <c r="D821" s="29" t="s">
        <v>93</v>
      </c>
      <c r="E821" s="29" t="s">
        <v>84</v>
      </c>
      <c r="F821" s="37">
        <f>F822</f>
        <v>6881.93595</v>
      </c>
      <c r="G821" s="37">
        <f t="shared" ref="G821" si="292">G822</f>
        <v>6843.1031899999998</v>
      </c>
      <c r="H821" s="128">
        <f t="shared" si="280"/>
        <v>99.435729127935275</v>
      </c>
    </row>
    <row r="822" spans="1:8" s="31" customFormat="1" ht="14.25" customHeight="1" x14ac:dyDescent="0.2">
      <c r="A822" s="51" t="s">
        <v>85</v>
      </c>
      <c r="B822" s="29" t="s">
        <v>315</v>
      </c>
      <c r="C822" s="29" t="s">
        <v>76</v>
      </c>
      <c r="D822" s="29" t="s">
        <v>93</v>
      </c>
      <c r="E822" s="29" t="s">
        <v>86</v>
      </c>
      <c r="F822" s="37">
        <f>7692+1000-1810.06405</f>
        <v>6881.93595</v>
      </c>
      <c r="G822" s="37">
        <v>6843.1031899999998</v>
      </c>
      <c r="H822" s="128">
        <f t="shared" si="280"/>
        <v>99.435729127935275</v>
      </c>
    </row>
    <row r="823" spans="1:8" s="31" customFormat="1" x14ac:dyDescent="0.2">
      <c r="A823" s="51" t="s">
        <v>87</v>
      </c>
      <c r="B823" s="29" t="s">
        <v>315</v>
      </c>
      <c r="C823" s="29" t="s">
        <v>76</v>
      </c>
      <c r="D823" s="29" t="s">
        <v>93</v>
      </c>
      <c r="E823" s="29" t="s">
        <v>88</v>
      </c>
      <c r="F823" s="37">
        <f>F824</f>
        <v>160.06405000000001</v>
      </c>
      <c r="G823" s="37">
        <f t="shared" ref="G823" si="293">G824</f>
        <v>160.06405000000001</v>
      </c>
      <c r="H823" s="128">
        <f t="shared" si="280"/>
        <v>100</v>
      </c>
    </row>
    <row r="824" spans="1:8" s="31" customFormat="1" ht="15" customHeight="1" x14ac:dyDescent="0.2">
      <c r="A824" s="51" t="s">
        <v>500</v>
      </c>
      <c r="B824" s="29" t="s">
        <v>315</v>
      </c>
      <c r="C824" s="29" t="s">
        <v>76</v>
      </c>
      <c r="D824" s="29" t="s">
        <v>93</v>
      </c>
      <c r="E824" s="29" t="s">
        <v>89</v>
      </c>
      <c r="F824" s="37">
        <f>250-89.93595</f>
        <v>160.06405000000001</v>
      </c>
      <c r="G824" s="37">
        <v>160.06405000000001</v>
      </c>
      <c r="H824" s="128">
        <f t="shared" si="280"/>
        <v>100</v>
      </c>
    </row>
    <row r="825" spans="1:8" s="31" customFormat="1" ht="27" x14ac:dyDescent="0.2">
      <c r="A825" s="124" t="s">
        <v>128</v>
      </c>
      <c r="B825" s="125" t="s">
        <v>210</v>
      </c>
      <c r="C825" s="125"/>
      <c r="D825" s="125"/>
      <c r="E825" s="125"/>
      <c r="F825" s="183">
        <f>F826</f>
        <v>2880</v>
      </c>
      <c r="G825" s="183">
        <f t="shared" ref="G825:G828" si="294">G826</f>
        <v>2118.42346</v>
      </c>
      <c r="H825" s="183">
        <f>G825/F825*100</f>
        <v>73.556370138888894</v>
      </c>
    </row>
    <row r="826" spans="1:8" s="31" customFormat="1" x14ac:dyDescent="0.2">
      <c r="A826" s="49" t="s">
        <v>114</v>
      </c>
      <c r="B826" s="22" t="s">
        <v>320</v>
      </c>
      <c r="C826" s="34" t="s">
        <v>76</v>
      </c>
      <c r="D826" s="34"/>
      <c r="E826" s="22"/>
      <c r="F826" s="38">
        <f>F827</f>
        <v>2880</v>
      </c>
      <c r="G826" s="38">
        <f t="shared" si="294"/>
        <v>2118.42346</v>
      </c>
      <c r="H826" s="127">
        <f t="shared" si="280"/>
        <v>73.556370138888894</v>
      </c>
    </row>
    <row r="827" spans="1:8" s="31" customFormat="1" x14ac:dyDescent="0.2">
      <c r="A827" s="49" t="s">
        <v>411</v>
      </c>
      <c r="B827" s="22" t="s">
        <v>320</v>
      </c>
      <c r="C827" s="34" t="s">
        <v>76</v>
      </c>
      <c r="D827" s="34" t="s">
        <v>93</v>
      </c>
      <c r="E827" s="22"/>
      <c r="F827" s="38">
        <f>F828</f>
        <v>2880</v>
      </c>
      <c r="G827" s="38">
        <f t="shared" si="294"/>
        <v>2118.42346</v>
      </c>
      <c r="H827" s="127">
        <f t="shared" si="280"/>
        <v>73.556370138888894</v>
      </c>
    </row>
    <row r="828" spans="1:8" s="31" customFormat="1" x14ac:dyDescent="0.2">
      <c r="A828" s="68" t="s">
        <v>104</v>
      </c>
      <c r="B828" s="29" t="s">
        <v>320</v>
      </c>
      <c r="C828" s="29" t="s">
        <v>76</v>
      </c>
      <c r="D828" s="29" t="s">
        <v>93</v>
      </c>
      <c r="E828" s="29" t="s">
        <v>391</v>
      </c>
      <c r="F828" s="37">
        <f>F829</f>
        <v>2880</v>
      </c>
      <c r="G828" s="37">
        <f t="shared" si="294"/>
        <v>2118.42346</v>
      </c>
      <c r="H828" s="128">
        <f t="shared" si="280"/>
        <v>73.556370138888894</v>
      </c>
    </row>
    <row r="829" spans="1:8" s="31" customFormat="1" x14ac:dyDescent="0.2">
      <c r="A829" s="68" t="s">
        <v>105</v>
      </c>
      <c r="B829" s="29" t="s">
        <v>320</v>
      </c>
      <c r="C829" s="29" t="s">
        <v>76</v>
      </c>
      <c r="D829" s="29" t="s">
        <v>93</v>
      </c>
      <c r="E829" s="29" t="s">
        <v>409</v>
      </c>
      <c r="F829" s="37">
        <v>2880</v>
      </c>
      <c r="G829" s="37">
        <v>2118.42346</v>
      </c>
      <c r="H829" s="128">
        <f t="shared" si="280"/>
        <v>73.556370138888894</v>
      </c>
    </row>
    <row r="830" spans="1:8" s="31" customFormat="1" ht="27" x14ac:dyDescent="0.2">
      <c r="A830" s="193" t="s">
        <v>687</v>
      </c>
      <c r="B830" s="125" t="s">
        <v>210</v>
      </c>
      <c r="C830" s="125"/>
      <c r="D830" s="125"/>
      <c r="E830" s="125"/>
      <c r="F830" s="183">
        <f>F831</f>
        <v>8715</v>
      </c>
      <c r="G830" s="183">
        <f t="shared" ref="G830:G831" si="295">G831</f>
        <v>8233.3039499999995</v>
      </c>
      <c r="H830" s="183">
        <f>G830/F830*100</f>
        <v>94.472793459552491</v>
      </c>
    </row>
    <row r="831" spans="1:8" s="31" customFormat="1" x14ac:dyDescent="0.2">
      <c r="A831" s="49" t="s">
        <v>114</v>
      </c>
      <c r="B831" s="22" t="s">
        <v>321</v>
      </c>
      <c r="C831" s="34" t="s">
        <v>76</v>
      </c>
      <c r="D831" s="34"/>
      <c r="E831" s="34"/>
      <c r="F831" s="79">
        <f>F832</f>
        <v>8715</v>
      </c>
      <c r="G831" s="79">
        <f t="shared" si="295"/>
        <v>8233.3039499999995</v>
      </c>
      <c r="H831" s="127">
        <f t="shared" si="280"/>
        <v>94.472793459552491</v>
      </c>
    </row>
    <row r="832" spans="1:8" s="31" customFormat="1" x14ac:dyDescent="0.2">
      <c r="A832" s="49" t="s">
        <v>411</v>
      </c>
      <c r="B832" s="22" t="s">
        <v>321</v>
      </c>
      <c r="C832" s="34" t="s">
        <v>76</v>
      </c>
      <c r="D832" s="34" t="s">
        <v>93</v>
      </c>
      <c r="E832" s="34"/>
      <c r="F832" s="79">
        <f>F833+F835+F837</f>
        <v>8715</v>
      </c>
      <c r="G832" s="79">
        <f t="shared" ref="G832" si="296">G833+G835+G837</f>
        <v>8233.3039499999995</v>
      </c>
      <c r="H832" s="127">
        <f t="shared" si="280"/>
        <v>94.472793459552491</v>
      </c>
    </row>
    <row r="833" spans="1:8" s="31" customFormat="1" ht="36" x14ac:dyDescent="0.2">
      <c r="A833" s="51" t="s">
        <v>79</v>
      </c>
      <c r="B833" s="29" t="s">
        <v>321</v>
      </c>
      <c r="C833" s="29" t="s">
        <v>76</v>
      </c>
      <c r="D833" s="29" t="s">
        <v>93</v>
      </c>
      <c r="E833" s="29" t="s">
        <v>80</v>
      </c>
      <c r="F833" s="37">
        <f>F834</f>
        <v>8365</v>
      </c>
      <c r="G833" s="37">
        <f t="shared" ref="G833" si="297">G834</f>
        <v>7951.9695700000002</v>
      </c>
      <c r="H833" s="128">
        <f t="shared" si="280"/>
        <v>95.062397728631211</v>
      </c>
    </row>
    <row r="834" spans="1:8" s="31" customFormat="1" x14ac:dyDescent="0.2">
      <c r="A834" s="51" t="s">
        <v>472</v>
      </c>
      <c r="B834" s="29" t="s">
        <v>321</v>
      </c>
      <c r="C834" s="29" t="s">
        <v>76</v>
      </c>
      <c r="D834" s="29" t="s">
        <v>93</v>
      </c>
      <c r="E834" s="29" t="s">
        <v>473</v>
      </c>
      <c r="F834" s="37">
        <v>8365</v>
      </c>
      <c r="G834" s="37">
        <v>7951.9695700000002</v>
      </c>
      <c r="H834" s="128">
        <f t="shared" si="280"/>
        <v>95.062397728631211</v>
      </c>
    </row>
    <row r="835" spans="1:8" s="31" customFormat="1" x14ac:dyDescent="0.2">
      <c r="A835" s="51" t="s">
        <v>294</v>
      </c>
      <c r="B835" s="29" t="s">
        <v>321</v>
      </c>
      <c r="C835" s="29" t="s">
        <v>76</v>
      </c>
      <c r="D835" s="29" t="s">
        <v>93</v>
      </c>
      <c r="E835" s="29" t="s">
        <v>84</v>
      </c>
      <c r="F835" s="84">
        <f>F836</f>
        <v>335</v>
      </c>
      <c r="G835" s="84">
        <f t="shared" ref="G835" si="298">G836</f>
        <v>274.53438</v>
      </c>
      <c r="H835" s="128">
        <f t="shared" si="280"/>
        <v>81.950561194029845</v>
      </c>
    </row>
    <row r="836" spans="1:8" s="31" customFormat="1" x14ac:dyDescent="0.2">
      <c r="A836" s="51" t="s">
        <v>85</v>
      </c>
      <c r="B836" s="29" t="s">
        <v>321</v>
      </c>
      <c r="C836" s="29" t="s">
        <v>76</v>
      </c>
      <c r="D836" s="29" t="s">
        <v>93</v>
      </c>
      <c r="E836" s="29" t="s">
        <v>86</v>
      </c>
      <c r="F836" s="84">
        <v>335</v>
      </c>
      <c r="G836" s="84">
        <v>274.53438</v>
      </c>
      <c r="H836" s="128">
        <f t="shared" si="280"/>
        <v>81.950561194029845</v>
      </c>
    </row>
    <row r="837" spans="1:8" s="31" customFormat="1" x14ac:dyDescent="0.2">
      <c r="A837" s="51" t="s">
        <v>87</v>
      </c>
      <c r="B837" s="29" t="s">
        <v>321</v>
      </c>
      <c r="C837" s="29" t="s">
        <v>76</v>
      </c>
      <c r="D837" s="29" t="s">
        <v>93</v>
      </c>
      <c r="E837" s="29" t="s">
        <v>88</v>
      </c>
      <c r="F837" s="84">
        <f>F838</f>
        <v>15</v>
      </c>
      <c r="G837" s="84">
        <f t="shared" ref="G837" si="299">G838</f>
        <v>6.8</v>
      </c>
      <c r="H837" s="128">
        <f t="shared" si="280"/>
        <v>45.333333333333329</v>
      </c>
    </row>
    <row r="838" spans="1:8" s="31" customFormat="1" x14ac:dyDescent="0.2">
      <c r="A838" s="51" t="s">
        <v>500</v>
      </c>
      <c r="B838" s="29" t="s">
        <v>321</v>
      </c>
      <c r="C838" s="29" t="s">
        <v>76</v>
      </c>
      <c r="D838" s="29" t="s">
        <v>93</v>
      </c>
      <c r="E838" s="29" t="s">
        <v>89</v>
      </c>
      <c r="F838" s="84">
        <v>15</v>
      </c>
      <c r="G838" s="84">
        <v>6.8</v>
      </c>
      <c r="H838" s="128">
        <f t="shared" si="280"/>
        <v>45.333333333333329</v>
      </c>
    </row>
    <row r="839" spans="1:8" s="31" customFormat="1" ht="27" x14ac:dyDescent="0.2">
      <c r="A839" s="124" t="s">
        <v>130</v>
      </c>
      <c r="B839" s="125" t="s">
        <v>210</v>
      </c>
      <c r="C839" s="125"/>
      <c r="D839" s="125"/>
      <c r="E839" s="125"/>
      <c r="F839" s="183">
        <f>F840</f>
        <v>3000</v>
      </c>
      <c r="G839" s="183">
        <f t="shared" ref="G839:G842" si="300">G840</f>
        <v>1774</v>
      </c>
      <c r="H839" s="183">
        <f>G839/F839*100</f>
        <v>59.13333333333334</v>
      </c>
    </row>
    <row r="840" spans="1:8" s="31" customFormat="1" x14ac:dyDescent="0.2">
      <c r="A840" s="49" t="s">
        <v>114</v>
      </c>
      <c r="B840" s="22" t="s">
        <v>57</v>
      </c>
      <c r="C840" s="22" t="s">
        <v>76</v>
      </c>
      <c r="D840" s="23"/>
      <c r="E840" s="22"/>
      <c r="F840" s="38">
        <f>F841</f>
        <v>3000</v>
      </c>
      <c r="G840" s="38">
        <f t="shared" si="300"/>
        <v>1774</v>
      </c>
      <c r="H840" s="127">
        <f t="shared" si="280"/>
        <v>59.13333333333334</v>
      </c>
    </row>
    <row r="841" spans="1:8" s="31" customFormat="1" x14ac:dyDescent="0.2">
      <c r="A841" s="49" t="s">
        <v>411</v>
      </c>
      <c r="B841" s="22" t="s">
        <v>57</v>
      </c>
      <c r="C841" s="22" t="s">
        <v>76</v>
      </c>
      <c r="D841" s="22" t="s">
        <v>93</v>
      </c>
      <c r="E841" s="22"/>
      <c r="F841" s="38">
        <f>F842</f>
        <v>3000</v>
      </c>
      <c r="G841" s="38">
        <f t="shared" si="300"/>
        <v>1774</v>
      </c>
      <c r="H841" s="127">
        <f t="shared" si="280"/>
        <v>59.13333333333334</v>
      </c>
    </row>
    <row r="842" spans="1:8" s="31" customFormat="1" x14ac:dyDescent="0.2">
      <c r="A842" s="51" t="s">
        <v>87</v>
      </c>
      <c r="B842" s="29" t="s">
        <v>57</v>
      </c>
      <c r="C842" s="29" t="s">
        <v>76</v>
      </c>
      <c r="D842" s="29" t="s">
        <v>93</v>
      </c>
      <c r="E842" s="29" t="s">
        <v>88</v>
      </c>
      <c r="F842" s="37">
        <f>F843</f>
        <v>3000</v>
      </c>
      <c r="G842" s="37">
        <f t="shared" si="300"/>
        <v>1774</v>
      </c>
      <c r="H842" s="128">
        <f t="shared" si="280"/>
        <v>59.13333333333334</v>
      </c>
    </row>
    <row r="843" spans="1:8" s="31" customFormat="1" x14ac:dyDescent="0.2">
      <c r="A843" s="51" t="s">
        <v>154</v>
      </c>
      <c r="B843" s="29" t="s">
        <v>57</v>
      </c>
      <c r="C843" s="29" t="s">
        <v>76</v>
      </c>
      <c r="D843" s="29" t="s">
        <v>93</v>
      </c>
      <c r="E843" s="29" t="s">
        <v>89</v>
      </c>
      <c r="F843" s="37">
        <v>3000</v>
      </c>
      <c r="G843" s="37">
        <v>1774</v>
      </c>
      <c r="H843" s="128">
        <f t="shared" si="280"/>
        <v>59.13333333333334</v>
      </c>
    </row>
    <row r="844" spans="1:8" s="31" customFormat="1" ht="13.5" x14ac:dyDescent="0.2">
      <c r="A844" s="124" t="s">
        <v>131</v>
      </c>
      <c r="B844" s="125" t="s">
        <v>210</v>
      </c>
      <c r="C844" s="125"/>
      <c r="D844" s="125"/>
      <c r="E844" s="125"/>
      <c r="F844" s="183">
        <f>F845</f>
        <v>1000</v>
      </c>
      <c r="G844" s="291">
        <f t="shared" ref="G844:G847" si="301">G845</f>
        <v>0</v>
      </c>
      <c r="H844" s="291">
        <f>G844/F844*100</f>
        <v>0</v>
      </c>
    </row>
    <row r="845" spans="1:8" s="31" customFormat="1" x14ac:dyDescent="0.2">
      <c r="A845" s="49" t="s">
        <v>114</v>
      </c>
      <c r="B845" s="22" t="s">
        <v>132</v>
      </c>
      <c r="C845" s="22" t="s">
        <v>76</v>
      </c>
      <c r="D845" s="23"/>
      <c r="E845" s="22"/>
      <c r="F845" s="38">
        <f>F846</f>
        <v>1000</v>
      </c>
      <c r="G845" s="292">
        <f t="shared" si="301"/>
        <v>0</v>
      </c>
      <c r="H845" s="127">
        <f t="shared" si="280"/>
        <v>0</v>
      </c>
    </row>
    <row r="846" spans="1:8" s="31" customFormat="1" x14ac:dyDescent="0.2">
      <c r="A846" s="49" t="s">
        <v>411</v>
      </c>
      <c r="B846" s="22" t="s">
        <v>132</v>
      </c>
      <c r="C846" s="22" t="s">
        <v>76</v>
      </c>
      <c r="D846" s="22" t="s">
        <v>93</v>
      </c>
      <c r="E846" s="22"/>
      <c r="F846" s="38">
        <f>F847</f>
        <v>1000</v>
      </c>
      <c r="G846" s="292">
        <f t="shared" si="301"/>
        <v>0</v>
      </c>
      <c r="H846" s="127">
        <f t="shared" si="280"/>
        <v>0</v>
      </c>
    </row>
    <row r="847" spans="1:8" s="31" customFormat="1" x14ac:dyDescent="0.2">
      <c r="A847" s="51" t="s">
        <v>87</v>
      </c>
      <c r="B847" s="29" t="s">
        <v>132</v>
      </c>
      <c r="C847" s="29" t="s">
        <v>76</v>
      </c>
      <c r="D847" s="29" t="s">
        <v>93</v>
      </c>
      <c r="E847" s="29" t="s">
        <v>88</v>
      </c>
      <c r="F847" s="37">
        <f>F848</f>
        <v>1000</v>
      </c>
      <c r="G847" s="293">
        <f t="shared" si="301"/>
        <v>0</v>
      </c>
      <c r="H847" s="127">
        <f t="shared" si="280"/>
        <v>0</v>
      </c>
    </row>
    <row r="848" spans="1:8" s="31" customFormat="1" x14ac:dyDescent="0.2">
      <c r="A848" s="51" t="s">
        <v>154</v>
      </c>
      <c r="B848" s="29" t="s">
        <v>132</v>
      </c>
      <c r="C848" s="29" t="s">
        <v>76</v>
      </c>
      <c r="D848" s="29" t="s">
        <v>93</v>
      </c>
      <c r="E848" s="29" t="s">
        <v>89</v>
      </c>
      <c r="F848" s="37">
        <v>1000</v>
      </c>
      <c r="G848" s="293">
        <v>0</v>
      </c>
      <c r="H848" s="284">
        <f t="shared" si="280"/>
        <v>0</v>
      </c>
    </row>
    <row r="849" spans="1:8" s="31" customFormat="1" ht="27" x14ac:dyDescent="0.2">
      <c r="A849" s="124" t="s">
        <v>352</v>
      </c>
      <c r="B849" s="125" t="s">
        <v>210</v>
      </c>
      <c r="C849" s="125"/>
      <c r="D849" s="125"/>
      <c r="E849" s="125"/>
      <c r="F849" s="183">
        <f>F850</f>
        <v>1000</v>
      </c>
      <c r="G849" s="291">
        <f t="shared" ref="G849:G852" si="302">G850</f>
        <v>0</v>
      </c>
      <c r="H849" s="291">
        <f>G849/F849*100</f>
        <v>0</v>
      </c>
    </row>
    <row r="850" spans="1:8" s="31" customFormat="1" x14ac:dyDescent="0.2">
      <c r="A850" s="49" t="s">
        <v>313</v>
      </c>
      <c r="B850" s="22" t="s">
        <v>549</v>
      </c>
      <c r="C850" s="22" t="s">
        <v>469</v>
      </c>
      <c r="D850" s="22"/>
      <c r="E850" s="22"/>
      <c r="F850" s="38">
        <f>F851</f>
        <v>1000</v>
      </c>
      <c r="G850" s="292">
        <f t="shared" si="302"/>
        <v>0</v>
      </c>
      <c r="H850" s="284">
        <f t="shared" si="280"/>
        <v>0</v>
      </c>
    </row>
    <row r="851" spans="1:8" s="31" customFormat="1" ht="24" x14ac:dyDescent="0.2">
      <c r="A851" s="65" t="s">
        <v>127</v>
      </c>
      <c r="B851" s="22" t="s">
        <v>549</v>
      </c>
      <c r="C851" s="22" t="s">
        <v>469</v>
      </c>
      <c r="D851" s="22" t="s">
        <v>470</v>
      </c>
      <c r="E851" s="22"/>
      <c r="F851" s="38">
        <f>F852</f>
        <v>1000</v>
      </c>
      <c r="G851" s="292">
        <f t="shared" si="302"/>
        <v>0</v>
      </c>
      <c r="H851" s="284">
        <f t="shared" si="280"/>
        <v>0</v>
      </c>
    </row>
    <row r="852" spans="1:8" s="31" customFormat="1" x14ac:dyDescent="0.2">
      <c r="A852" s="68" t="s">
        <v>294</v>
      </c>
      <c r="B852" s="29" t="s">
        <v>549</v>
      </c>
      <c r="C852" s="29" t="s">
        <v>469</v>
      </c>
      <c r="D852" s="29" t="s">
        <v>470</v>
      </c>
      <c r="E852" s="29" t="s">
        <v>84</v>
      </c>
      <c r="F852" s="37">
        <f>F853</f>
        <v>1000</v>
      </c>
      <c r="G852" s="293">
        <f t="shared" si="302"/>
        <v>0</v>
      </c>
      <c r="H852" s="284">
        <f t="shared" si="280"/>
        <v>0</v>
      </c>
    </row>
    <row r="853" spans="1:8" s="31" customFormat="1" x14ac:dyDescent="0.2">
      <c r="A853" s="68" t="s">
        <v>85</v>
      </c>
      <c r="B853" s="29" t="s">
        <v>549</v>
      </c>
      <c r="C853" s="29" t="s">
        <v>469</v>
      </c>
      <c r="D853" s="29" t="s">
        <v>470</v>
      </c>
      <c r="E853" s="29" t="s">
        <v>86</v>
      </c>
      <c r="F853" s="37">
        <v>1000</v>
      </c>
      <c r="G853" s="293">
        <v>0</v>
      </c>
      <c r="H853" s="284">
        <f t="shared" si="280"/>
        <v>0</v>
      </c>
    </row>
    <row r="854" spans="1:8" s="31" customFormat="1" ht="13.5" x14ac:dyDescent="0.2">
      <c r="A854" s="193" t="s">
        <v>42</v>
      </c>
      <c r="B854" s="125" t="s">
        <v>210</v>
      </c>
      <c r="C854" s="125"/>
      <c r="D854" s="125"/>
      <c r="E854" s="125"/>
      <c r="F854" s="183">
        <f>F855</f>
        <v>4000</v>
      </c>
      <c r="G854" s="183">
        <f t="shared" ref="G854:G855" si="303">G855</f>
        <v>3766.3434600000001</v>
      </c>
      <c r="H854" s="183">
        <f>G854/F854*100</f>
        <v>94.158586499999998</v>
      </c>
    </row>
    <row r="855" spans="1:8" s="31" customFormat="1" x14ac:dyDescent="0.2">
      <c r="A855" s="49" t="s">
        <v>313</v>
      </c>
      <c r="B855" s="22" t="s">
        <v>550</v>
      </c>
      <c r="C855" s="22" t="s">
        <v>469</v>
      </c>
      <c r="D855" s="29"/>
      <c r="E855" s="29"/>
      <c r="F855" s="38">
        <f>F856</f>
        <v>4000</v>
      </c>
      <c r="G855" s="38">
        <f t="shared" si="303"/>
        <v>3766.3434600000001</v>
      </c>
      <c r="H855" s="127">
        <f t="shared" si="280"/>
        <v>94.158586499999998</v>
      </c>
    </row>
    <row r="856" spans="1:8" s="31" customFormat="1" x14ac:dyDescent="0.2">
      <c r="A856" s="49" t="s">
        <v>471</v>
      </c>
      <c r="B856" s="22" t="s">
        <v>550</v>
      </c>
      <c r="C856" s="22" t="s">
        <v>469</v>
      </c>
      <c r="D856" s="22" t="s">
        <v>470</v>
      </c>
      <c r="E856" s="22"/>
      <c r="F856" s="38">
        <f>F857+F859+F861</f>
        <v>4000</v>
      </c>
      <c r="G856" s="38">
        <f t="shared" ref="G856" si="304">G857+G859+G861</f>
        <v>3766.3434600000001</v>
      </c>
      <c r="H856" s="127">
        <f t="shared" si="280"/>
        <v>94.158586499999998</v>
      </c>
    </row>
    <row r="857" spans="1:8" s="31" customFormat="1" ht="36" x14ac:dyDescent="0.2">
      <c r="A857" s="51" t="s">
        <v>79</v>
      </c>
      <c r="B857" s="29" t="s">
        <v>550</v>
      </c>
      <c r="C857" s="29" t="s">
        <v>469</v>
      </c>
      <c r="D857" s="29" t="s">
        <v>470</v>
      </c>
      <c r="E857" s="29" t="s">
        <v>80</v>
      </c>
      <c r="F857" s="37">
        <f>F858</f>
        <v>3564</v>
      </c>
      <c r="G857" s="37">
        <f t="shared" ref="G857" si="305">G858</f>
        <v>3514</v>
      </c>
      <c r="H857" s="128">
        <f t="shared" si="280"/>
        <v>98.597081930415271</v>
      </c>
    </row>
    <row r="858" spans="1:8" s="31" customFormat="1" x14ac:dyDescent="0.2">
      <c r="A858" s="51" t="s">
        <v>472</v>
      </c>
      <c r="B858" s="29" t="s">
        <v>550</v>
      </c>
      <c r="C858" s="29" t="s">
        <v>469</v>
      </c>
      <c r="D858" s="29" t="s">
        <v>470</v>
      </c>
      <c r="E858" s="29" t="s">
        <v>473</v>
      </c>
      <c r="F858" s="37">
        <f>3514+50</f>
        <v>3564</v>
      </c>
      <c r="G858" s="37">
        <v>3514</v>
      </c>
      <c r="H858" s="128">
        <f t="shared" ref="H858:H921" si="306">G858/F858*100</f>
        <v>98.597081930415271</v>
      </c>
    </row>
    <row r="859" spans="1:8" s="31" customFormat="1" x14ac:dyDescent="0.2">
      <c r="A859" s="51" t="s">
        <v>294</v>
      </c>
      <c r="B859" s="29" t="s">
        <v>550</v>
      </c>
      <c r="C859" s="29" t="s">
        <v>469</v>
      </c>
      <c r="D859" s="29" t="s">
        <v>470</v>
      </c>
      <c r="E859" s="29" t="s">
        <v>84</v>
      </c>
      <c r="F859" s="37">
        <f>F860</f>
        <v>425</v>
      </c>
      <c r="G859" s="37">
        <f t="shared" ref="G859" si="307">G860</f>
        <v>252.34345999999999</v>
      </c>
      <c r="H859" s="128">
        <f t="shared" si="306"/>
        <v>59.374931764705885</v>
      </c>
    </row>
    <row r="860" spans="1:8" s="31" customFormat="1" x14ac:dyDescent="0.2">
      <c r="A860" s="51" t="s">
        <v>85</v>
      </c>
      <c r="B860" s="29" t="s">
        <v>550</v>
      </c>
      <c r="C860" s="29" t="s">
        <v>469</v>
      </c>
      <c r="D860" s="29" t="s">
        <v>470</v>
      </c>
      <c r="E860" s="29" t="s">
        <v>86</v>
      </c>
      <c r="F860" s="37">
        <f>475-50</f>
        <v>425</v>
      </c>
      <c r="G860" s="37">
        <v>252.34345999999999</v>
      </c>
      <c r="H860" s="128">
        <f t="shared" si="306"/>
        <v>59.374931764705885</v>
      </c>
    </row>
    <row r="861" spans="1:8" s="31" customFormat="1" ht="13.5" customHeight="1" x14ac:dyDescent="0.2">
      <c r="A861" s="51" t="s">
        <v>87</v>
      </c>
      <c r="B861" s="29" t="s">
        <v>550</v>
      </c>
      <c r="C861" s="29" t="s">
        <v>469</v>
      </c>
      <c r="D861" s="29" t="s">
        <v>470</v>
      </c>
      <c r="E861" s="29" t="s">
        <v>88</v>
      </c>
      <c r="F861" s="37">
        <f>F862</f>
        <v>11</v>
      </c>
      <c r="G861" s="293">
        <f t="shared" ref="G861" si="308">G862</f>
        <v>0</v>
      </c>
      <c r="H861" s="285">
        <f t="shared" si="306"/>
        <v>0</v>
      </c>
    </row>
    <row r="862" spans="1:8" s="31" customFormat="1" ht="25.5" customHeight="1" x14ac:dyDescent="0.2">
      <c r="A862" s="51" t="s">
        <v>154</v>
      </c>
      <c r="B862" s="29" t="s">
        <v>550</v>
      </c>
      <c r="C862" s="29" t="s">
        <v>469</v>
      </c>
      <c r="D862" s="29" t="s">
        <v>470</v>
      </c>
      <c r="E862" s="29" t="s">
        <v>89</v>
      </c>
      <c r="F862" s="37">
        <v>11</v>
      </c>
      <c r="G862" s="293">
        <v>0</v>
      </c>
      <c r="H862" s="285">
        <f t="shared" si="306"/>
        <v>0</v>
      </c>
    </row>
    <row r="863" spans="1:8" s="31" customFormat="1" ht="13.5" customHeight="1" x14ac:dyDescent="0.2">
      <c r="A863" s="124" t="s">
        <v>484</v>
      </c>
      <c r="B863" s="125" t="s">
        <v>210</v>
      </c>
      <c r="C863" s="125"/>
      <c r="D863" s="125"/>
      <c r="E863" s="125"/>
      <c r="F863" s="183">
        <f>F864</f>
        <v>5000</v>
      </c>
      <c r="G863" s="183">
        <f t="shared" ref="G863:G866" si="309">G864</f>
        <v>4999.99</v>
      </c>
      <c r="H863" s="183">
        <f>G863/F863*100</f>
        <v>99.999799999999993</v>
      </c>
    </row>
    <row r="864" spans="1:8" s="31" customFormat="1" ht="13.5" customHeight="1" x14ac:dyDescent="0.2">
      <c r="A864" s="49" t="s">
        <v>353</v>
      </c>
      <c r="B864" s="22" t="s">
        <v>560</v>
      </c>
      <c r="C864" s="22" t="s">
        <v>78</v>
      </c>
      <c r="D864" s="45"/>
      <c r="E864" s="22"/>
      <c r="F864" s="38">
        <f>F865</f>
        <v>5000</v>
      </c>
      <c r="G864" s="38">
        <f t="shared" si="309"/>
        <v>4999.99</v>
      </c>
      <c r="H864" s="127">
        <f t="shared" si="306"/>
        <v>99.999799999999993</v>
      </c>
    </row>
    <row r="865" spans="1:8" s="31" customFormat="1" ht="13.5" customHeight="1" x14ac:dyDescent="0.2">
      <c r="A865" s="49" t="s">
        <v>388</v>
      </c>
      <c r="B865" s="22" t="s">
        <v>560</v>
      </c>
      <c r="C865" s="22" t="s">
        <v>78</v>
      </c>
      <c r="D865" s="22" t="s">
        <v>475</v>
      </c>
      <c r="E865" s="22"/>
      <c r="F865" s="38">
        <f>F866</f>
        <v>5000</v>
      </c>
      <c r="G865" s="38">
        <f t="shared" si="309"/>
        <v>4999.99</v>
      </c>
      <c r="H865" s="127">
        <f t="shared" si="306"/>
        <v>99.999799999999993</v>
      </c>
    </row>
    <row r="866" spans="1:8" s="31" customFormat="1" x14ac:dyDescent="0.2">
      <c r="A866" s="68" t="s">
        <v>294</v>
      </c>
      <c r="B866" s="29" t="s">
        <v>560</v>
      </c>
      <c r="C866" s="29" t="s">
        <v>78</v>
      </c>
      <c r="D866" s="29" t="s">
        <v>475</v>
      </c>
      <c r="E866" s="30">
        <v>200</v>
      </c>
      <c r="F866" s="37">
        <f>F867</f>
        <v>5000</v>
      </c>
      <c r="G866" s="37">
        <f t="shared" si="309"/>
        <v>4999.99</v>
      </c>
      <c r="H866" s="128">
        <f t="shared" si="306"/>
        <v>99.999799999999993</v>
      </c>
    </row>
    <row r="867" spans="1:8" s="31" customFormat="1" x14ac:dyDescent="0.2">
      <c r="A867" s="68" t="s">
        <v>85</v>
      </c>
      <c r="B867" s="29" t="s">
        <v>560</v>
      </c>
      <c r="C867" s="29" t="s">
        <v>78</v>
      </c>
      <c r="D867" s="29" t="s">
        <v>475</v>
      </c>
      <c r="E867" s="29" t="s">
        <v>86</v>
      </c>
      <c r="F867" s="37">
        <f>1000+4000</f>
        <v>5000</v>
      </c>
      <c r="G867" s="37">
        <v>4999.99</v>
      </c>
      <c r="H867" s="128">
        <f t="shared" si="306"/>
        <v>99.999799999999993</v>
      </c>
    </row>
    <row r="868" spans="1:8" s="31" customFormat="1" ht="27" x14ac:dyDescent="0.2">
      <c r="A868" s="193" t="s">
        <v>384</v>
      </c>
      <c r="B868" s="125" t="s">
        <v>210</v>
      </c>
      <c r="C868" s="125"/>
      <c r="D868" s="125"/>
      <c r="E868" s="125"/>
      <c r="F868" s="183">
        <f>F869</f>
        <v>17150</v>
      </c>
      <c r="G868" s="183">
        <f t="shared" ref="G868:G871" si="310">G869</f>
        <v>17150</v>
      </c>
      <c r="H868" s="183">
        <f>G868/F868*100</f>
        <v>100</v>
      </c>
    </row>
    <row r="869" spans="1:8" s="31" customFormat="1" x14ac:dyDescent="0.2">
      <c r="A869" s="49" t="s">
        <v>389</v>
      </c>
      <c r="B869" s="22" t="s">
        <v>485</v>
      </c>
      <c r="C869" s="22" t="s">
        <v>501</v>
      </c>
      <c r="D869" s="22"/>
      <c r="E869" s="22"/>
      <c r="F869" s="38">
        <f>F870</f>
        <v>17150</v>
      </c>
      <c r="G869" s="38">
        <f t="shared" si="310"/>
        <v>17150</v>
      </c>
      <c r="H869" s="127">
        <f t="shared" si="306"/>
        <v>100</v>
      </c>
    </row>
    <row r="870" spans="1:8" s="31" customFormat="1" x14ac:dyDescent="0.2">
      <c r="A870" s="49" t="s">
        <v>372</v>
      </c>
      <c r="B870" s="22" t="s">
        <v>485</v>
      </c>
      <c r="C870" s="22" t="s">
        <v>501</v>
      </c>
      <c r="D870" s="22" t="s">
        <v>76</v>
      </c>
      <c r="E870" s="22"/>
      <c r="F870" s="38">
        <f>F871</f>
        <v>17150</v>
      </c>
      <c r="G870" s="38">
        <f t="shared" si="310"/>
        <v>17150</v>
      </c>
      <c r="H870" s="127">
        <f t="shared" si="306"/>
        <v>100</v>
      </c>
    </row>
    <row r="871" spans="1:8" s="31" customFormat="1" x14ac:dyDescent="0.2">
      <c r="A871" s="51" t="s">
        <v>95</v>
      </c>
      <c r="B871" s="29" t="s">
        <v>485</v>
      </c>
      <c r="C871" s="29" t="s">
        <v>501</v>
      </c>
      <c r="D871" s="29" t="s">
        <v>76</v>
      </c>
      <c r="E871" s="29" t="s">
        <v>94</v>
      </c>
      <c r="F871" s="37">
        <f>F872</f>
        <v>17150</v>
      </c>
      <c r="G871" s="37">
        <f t="shared" si="310"/>
        <v>17150</v>
      </c>
      <c r="H871" s="128">
        <f t="shared" si="306"/>
        <v>100</v>
      </c>
    </row>
    <row r="872" spans="1:8" s="31" customFormat="1" x14ac:dyDescent="0.2">
      <c r="A872" s="51" t="s">
        <v>155</v>
      </c>
      <c r="B872" s="29" t="s">
        <v>485</v>
      </c>
      <c r="C872" s="29" t="s">
        <v>501</v>
      </c>
      <c r="D872" s="29" t="s">
        <v>76</v>
      </c>
      <c r="E872" s="29" t="s">
        <v>504</v>
      </c>
      <c r="F872" s="37">
        <v>17150</v>
      </c>
      <c r="G872" s="37">
        <v>17150</v>
      </c>
      <c r="H872" s="128">
        <f t="shared" si="306"/>
        <v>100</v>
      </c>
    </row>
    <row r="873" spans="1:8" s="31" customFormat="1" ht="27" x14ac:dyDescent="0.2">
      <c r="A873" s="193" t="s">
        <v>561</v>
      </c>
      <c r="B873" s="125" t="s">
        <v>210</v>
      </c>
      <c r="C873" s="125"/>
      <c r="D873" s="125"/>
      <c r="E873" s="125"/>
      <c r="F873" s="183">
        <f>F874</f>
        <v>20000</v>
      </c>
      <c r="G873" s="183">
        <f t="shared" ref="G873:G876" si="311">G874</f>
        <v>19911.810000000001</v>
      </c>
      <c r="H873" s="183">
        <f>G873/F873*100</f>
        <v>99.559049999999999</v>
      </c>
    </row>
    <row r="874" spans="1:8" s="31" customFormat="1" x14ac:dyDescent="0.2">
      <c r="A874" s="49" t="s">
        <v>389</v>
      </c>
      <c r="B874" s="104" t="s">
        <v>486</v>
      </c>
      <c r="C874" s="22" t="s">
        <v>501</v>
      </c>
      <c r="D874" s="22"/>
      <c r="E874" s="22"/>
      <c r="F874" s="38">
        <f>F875</f>
        <v>20000</v>
      </c>
      <c r="G874" s="38">
        <f t="shared" si="311"/>
        <v>19911.810000000001</v>
      </c>
      <c r="H874" s="127">
        <f t="shared" si="306"/>
        <v>99.559049999999999</v>
      </c>
    </row>
    <row r="875" spans="1:8" s="31" customFormat="1" x14ac:dyDescent="0.2">
      <c r="A875" s="49" t="s">
        <v>377</v>
      </c>
      <c r="B875" s="104" t="s">
        <v>486</v>
      </c>
      <c r="C875" s="22" t="s">
        <v>501</v>
      </c>
      <c r="D875" s="22" t="s">
        <v>469</v>
      </c>
      <c r="E875" s="22"/>
      <c r="F875" s="38">
        <f>F876</f>
        <v>20000</v>
      </c>
      <c r="G875" s="38">
        <f t="shared" si="311"/>
        <v>19911.810000000001</v>
      </c>
      <c r="H875" s="127">
        <f t="shared" si="306"/>
        <v>99.559049999999999</v>
      </c>
    </row>
    <row r="876" spans="1:8" s="31" customFormat="1" x14ac:dyDescent="0.2">
      <c r="A876" s="112" t="s">
        <v>95</v>
      </c>
      <c r="B876" s="113" t="s">
        <v>486</v>
      </c>
      <c r="C876" s="113" t="s">
        <v>501</v>
      </c>
      <c r="D876" s="113" t="s">
        <v>469</v>
      </c>
      <c r="E876" s="113" t="s">
        <v>94</v>
      </c>
      <c r="F876" s="114">
        <f>F877</f>
        <v>20000</v>
      </c>
      <c r="G876" s="114">
        <f t="shared" si="311"/>
        <v>19911.810000000001</v>
      </c>
      <c r="H876" s="128">
        <f t="shared" si="306"/>
        <v>99.559049999999999</v>
      </c>
    </row>
    <row r="877" spans="1:8" s="31" customFormat="1" ht="12" customHeight="1" x14ac:dyDescent="0.2">
      <c r="A877" s="112" t="s">
        <v>96</v>
      </c>
      <c r="B877" s="113" t="s">
        <v>486</v>
      </c>
      <c r="C877" s="113" t="s">
        <v>501</v>
      </c>
      <c r="D877" s="113" t="s">
        <v>469</v>
      </c>
      <c r="E877" s="113" t="s">
        <v>97</v>
      </c>
      <c r="F877" s="114">
        <v>20000</v>
      </c>
      <c r="G877" s="114">
        <v>19911.810000000001</v>
      </c>
      <c r="H877" s="128">
        <f t="shared" si="306"/>
        <v>99.559049999999999</v>
      </c>
    </row>
    <row r="878" spans="1:8" s="31" customFormat="1" ht="13.5" x14ac:dyDescent="0.2">
      <c r="A878" s="193" t="s">
        <v>312</v>
      </c>
      <c r="B878" s="125" t="s">
        <v>210</v>
      </c>
      <c r="C878" s="125"/>
      <c r="D878" s="125"/>
      <c r="E878" s="125"/>
      <c r="F878" s="183">
        <f>F879</f>
        <v>8063.9717300000002</v>
      </c>
      <c r="G878" s="183">
        <f t="shared" ref="G878:G880" si="312">G879</f>
        <v>4829.0568400000002</v>
      </c>
      <c r="H878" s="183">
        <f>G878/F878*100</f>
        <v>59.884347337611509</v>
      </c>
    </row>
    <row r="879" spans="1:8" s="31" customFormat="1" x14ac:dyDescent="0.2">
      <c r="A879" s="49" t="s">
        <v>114</v>
      </c>
      <c r="B879" s="22" t="s">
        <v>337</v>
      </c>
      <c r="C879" s="22" t="s">
        <v>76</v>
      </c>
      <c r="D879" s="23"/>
      <c r="E879" s="29"/>
      <c r="F879" s="38">
        <f>F880</f>
        <v>8063.9717300000002</v>
      </c>
      <c r="G879" s="38">
        <f t="shared" si="312"/>
        <v>4829.0568400000002</v>
      </c>
      <c r="H879" s="127">
        <f t="shared" si="306"/>
        <v>59.884347337611509</v>
      </c>
    </row>
    <row r="880" spans="1:8" s="31" customFormat="1" x14ac:dyDescent="0.2">
      <c r="A880" s="49" t="s">
        <v>411</v>
      </c>
      <c r="B880" s="22" t="s">
        <v>337</v>
      </c>
      <c r="C880" s="22" t="s">
        <v>76</v>
      </c>
      <c r="D880" s="22" t="s">
        <v>93</v>
      </c>
      <c r="E880" s="22"/>
      <c r="F880" s="38">
        <f>F881</f>
        <v>8063.9717300000002</v>
      </c>
      <c r="G880" s="38">
        <f t="shared" si="312"/>
        <v>4829.0568400000002</v>
      </c>
      <c r="H880" s="127">
        <f t="shared" si="306"/>
        <v>59.884347337611509</v>
      </c>
    </row>
    <row r="881" spans="1:8" s="31" customFormat="1" x14ac:dyDescent="0.2">
      <c r="A881" s="51" t="s">
        <v>87</v>
      </c>
      <c r="B881" s="29" t="s">
        <v>337</v>
      </c>
      <c r="C881" s="29" t="s">
        <v>76</v>
      </c>
      <c r="D881" s="29" t="s">
        <v>93</v>
      </c>
      <c r="E881" s="29" t="s">
        <v>88</v>
      </c>
      <c r="F881" s="37">
        <f>F882+F883</f>
        <v>8063.9717300000002</v>
      </c>
      <c r="G881" s="37">
        <f t="shared" ref="G881" si="313">G882+G883</f>
        <v>4829.0568400000002</v>
      </c>
      <c r="H881" s="128">
        <f t="shared" si="306"/>
        <v>59.884347337611509</v>
      </c>
    </row>
    <row r="882" spans="1:8" s="31" customFormat="1" x14ac:dyDescent="0.2">
      <c r="A882" s="51" t="s">
        <v>149</v>
      </c>
      <c r="B882" s="29" t="s">
        <v>337</v>
      </c>
      <c r="C882" s="29" t="s">
        <v>76</v>
      </c>
      <c r="D882" s="29" t="s">
        <v>93</v>
      </c>
      <c r="E882" s="29" t="s">
        <v>153</v>
      </c>
      <c r="F882" s="37">
        <f>3900-500+8.323+1800+5+1200+900+450+300.64873-100</f>
        <v>7963.9717300000002</v>
      </c>
      <c r="G882" s="37">
        <v>4829.0568400000002</v>
      </c>
      <c r="H882" s="128">
        <f t="shared" si="306"/>
        <v>60.636288069797054</v>
      </c>
    </row>
    <row r="883" spans="1:8" s="31" customFormat="1" x14ac:dyDescent="0.2">
      <c r="A883" s="51" t="s">
        <v>154</v>
      </c>
      <c r="B883" s="29" t="s">
        <v>337</v>
      </c>
      <c r="C883" s="29" t="s">
        <v>76</v>
      </c>
      <c r="D883" s="29" t="s">
        <v>93</v>
      </c>
      <c r="E883" s="29" t="s">
        <v>89</v>
      </c>
      <c r="F883" s="37">
        <v>100</v>
      </c>
      <c r="G883" s="293">
        <v>0</v>
      </c>
      <c r="H883" s="285">
        <f t="shared" si="306"/>
        <v>0</v>
      </c>
    </row>
    <row r="884" spans="1:8" s="31" customFormat="1" ht="13.5" x14ac:dyDescent="0.2">
      <c r="A884" s="193" t="s">
        <v>46</v>
      </c>
      <c r="B884" s="125" t="s">
        <v>210</v>
      </c>
      <c r="C884" s="125"/>
      <c r="D884" s="125"/>
      <c r="E884" s="125"/>
      <c r="F884" s="183">
        <f>F885</f>
        <v>2320</v>
      </c>
      <c r="G884" s="183">
        <f t="shared" ref="G884:G885" si="314">G885</f>
        <v>2217.0049999999997</v>
      </c>
      <c r="H884" s="183">
        <f>G884/F884*100</f>
        <v>95.560560344827579</v>
      </c>
    </row>
    <row r="885" spans="1:8" s="31" customFormat="1" x14ac:dyDescent="0.2">
      <c r="A885" s="49" t="s">
        <v>382</v>
      </c>
      <c r="B885" s="22" t="s">
        <v>338</v>
      </c>
      <c r="C885" s="22" t="s">
        <v>475</v>
      </c>
      <c r="D885" s="22"/>
      <c r="E885" s="22"/>
      <c r="F885" s="38">
        <f>F886</f>
        <v>2320</v>
      </c>
      <c r="G885" s="38">
        <f t="shared" si="314"/>
        <v>2217.0049999999997</v>
      </c>
      <c r="H885" s="127">
        <f t="shared" si="306"/>
        <v>95.560560344827579</v>
      </c>
    </row>
    <row r="886" spans="1:8" s="31" customFormat="1" x14ac:dyDescent="0.2">
      <c r="A886" s="49" t="s">
        <v>370</v>
      </c>
      <c r="B886" s="22" t="s">
        <v>338</v>
      </c>
      <c r="C886" s="22" t="s">
        <v>475</v>
      </c>
      <c r="D886" s="22" t="s">
        <v>76</v>
      </c>
      <c r="E886" s="22"/>
      <c r="F886" s="38">
        <f>F887+F889+F891+F893</f>
        <v>2320</v>
      </c>
      <c r="G886" s="38">
        <f t="shared" ref="G886" si="315">G887+G889+G891+G893</f>
        <v>2217.0049999999997</v>
      </c>
      <c r="H886" s="127">
        <f t="shared" si="306"/>
        <v>95.560560344827579</v>
      </c>
    </row>
    <row r="887" spans="1:8" s="31" customFormat="1" ht="36" x14ac:dyDescent="0.2">
      <c r="A887" s="51" t="s">
        <v>79</v>
      </c>
      <c r="B887" s="29" t="s">
        <v>338</v>
      </c>
      <c r="C887" s="29" t="s">
        <v>475</v>
      </c>
      <c r="D887" s="29" t="s">
        <v>76</v>
      </c>
      <c r="E887" s="29" t="s">
        <v>80</v>
      </c>
      <c r="F887" s="37">
        <f>F888</f>
        <v>2266.4470000000001</v>
      </c>
      <c r="G887" s="37">
        <f t="shared" ref="G887" si="316">G888</f>
        <v>2172.808</v>
      </c>
      <c r="H887" s="128">
        <f t="shared" si="306"/>
        <v>95.868467252929364</v>
      </c>
    </row>
    <row r="888" spans="1:8" s="31" customFormat="1" x14ac:dyDescent="0.2">
      <c r="A888" s="51" t="s">
        <v>472</v>
      </c>
      <c r="B888" s="29" t="s">
        <v>338</v>
      </c>
      <c r="C888" s="29" t="s">
        <v>475</v>
      </c>
      <c r="D888" s="29" t="s">
        <v>76</v>
      </c>
      <c r="E888" s="29" t="s">
        <v>473</v>
      </c>
      <c r="F888" s="114">
        <f>2420+730+12+102-71.314+28.421-954.66</f>
        <v>2266.4470000000001</v>
      </c>
      <c r="G888" s="114">
        <v>2172.808</v>
      </c>
      <c r="H888" s="128">
        <f t="shared" si="306"/>
        <v>95.868467252929364</v>
      </c>
    </row>
    <row r="889" spans="1:8" s="31" customFormat="1" x14ac:dyDescent="0.2">
      <c r="A889" s="51" t="s">
        <v>294</v>
      </c>
      <c r="B889" s="29" t="s">
        <v>338</v>
      </c>
      <c r="C889" s="29" t="s">
        <v>475</v>
      </c>
      <c r="D889" s="29" t="s">
        <v>76</v>
      </c>
      <c r="E889" s="29" t="s">
        <v>84</v>
      </c>
      <c r="F889" s="37">
        <f>F890</f>
        <v>4.6599999999999966</v>
      </c>
      <c r="G889" s="37">
        <f t="shared" ref="G889" si="317">G890</f>
        <v>4.66</v>
      </c>
      <c r="H889" s="128">
        <f t="shared" si="306"/>
        <v>100.00000000000007</v>
      </c>
    </row>
    <row r="890" spans="1:8" s="31" customFormat="1" x14ac:dyDescent="0.2">
      <c r="A890" s="51" t="s">
        <v>85</v>
      </c>
      <c r="B890" s="29" t="s">
        <v>338</v>
      </c>
      <c r="C890" s="29" t="s">
        <v>475</v>
      </c>
      <c r="D890" s="29" t="s">
        <v>76</v>
      </c>
      <c r="E890" s="29" t="s">
        <v>86</v>
      </c>
      <c r="F890" s="37">
        <f>50-45.34</f>
        <v>4.6599999999999966</v>
      </c>
      <c r="G890" s="37">
        <v>4.66</v>
      </c>
      <c r="H890" s="128">
        <f t="shared" si="306"/>
        <v>100.00000000000007</v>
      </c>
    </row>
    <row r="891" spans="1:8" s="31" customFormat="1" x14ac:dyDescent="0.2">
      <c r="A891" s="211" t="s">
        <v>95</v>
      </c>
      <c r="B891" s="29" t="s">
        <v>338</v>
      </c>
      <c r="C891" s="29" t="s">
        <v>475</v>
      </c>
      <c r="D891" s="29" t="s">
        <v>76</v>
      </c>
      <c r="E891" s="29" t="s">
        <v>94</v>
      </c>
      <c r="F891" s="37">
        <f>F892</f>
        <v>39.536999999999999</v>
      </c>
      <c r="G891" s="37">
        <f t="shared" ref="G891" si="318">G892</f>
        <v>39.536999999999999</v>
      </c>
      <c r="H891" s="128">
        <f t="shared" si="306"/>
        <v>100</v>
      </c>
    </row>
    <row r="892" spans="1:8" s="31" customFormat="1" x14ac:dyDescent="0.2">
      <c r="A892" s="211" t="s">
        <v>96</v>
      </c>
      <c r="B892" s="29" t="s">
        <v>338</v>
      </c>
      <c r="C892" s="29" t="s">
        <v>475</v>
      </c>
      <c r="D892" s="29" t="s">
        <v>76</v>
      </c>
      <c r="E892" s="29" t="s">
        <v>97</v>
      </c>
      <c r="F892" s="37">
        <v>39.536999999999999</v>
      </c>
      <c r="G892" s="37">
        <v>39.536999999999999</v>
      </c>
      <c r="H892" s="128">
        <f t="shared" si="306"/>
        <v>100</v>
      </c>
    </row>
    <row r="893" spans="1:8" s="31" customFormat="1" x14ac:dyDescent="0.2">
      <c r="A893" s="51" t="s">
        <v>87</v>
      </c>
      <c r="B893" s="29" t="s">
        <v>338</v>
      </c>
      <c r="C893" s="29" t="s">
        <v>475</v>
      </c>
      <c r="D893" s="29" t="s">
        <v>76</v>
      </c>
      <c r="E893" s="29" t="s">
        <v>88</v>
      </c>
      <c r="F893" s="37">
        <f>F894</f>
        <v>9.3559999999999999</v>
      </c>
      <c r="G893" s="293">
        <f t="shared" ref="G893" si="319">G894</f>
        <v>0</v>
      </c>
      <c r="H893" s="285">
        <f t="shared" si="306"/>
        <v>0</v>
      </c>
    </row>
    <row r="894" spans="1:8" s="31" customFormat="1" x14ac:dyDescent="0.2">
      <c r="A894" s="51" t="s">
        <v>154</v>
      </c>
      <c r="B894" s="29" t="s">
        <v>338</v>
      </c>
      <c r="C894" s="29" t="s">
        <v>475</v>
      </c>
      <c r="D894" s="29" t="s">
        <v>76</v>
      </c>
      <c r="E894" s="29" t="s">
        <v>89</v>
      </c>
      <c r="F894" s="37">
        <f>6+0.242+3.114</f>
        <v>9.3559999999999999</v>
      </c>
      <c r="G894" s="293">
        <v>0</v>
      </c>
      <c r="H894" s="285">
        <f t="shared" si="306"/>
        <v>0</v>
      </c>
    </row>
    <row r="895" spans="1:8" s="31" customFormat="1" ht="27" x14ac:dyDescent="0.2">
      <c r="A895" s="193" t="s">
        <v>48</v>
      </c>
      <c r="B895" s="125" t="s">
        <v>210</v>
      </c>
      <c r="C895" s="125"/>
      <c r="D895" s="125"/>
      <c r="E895" s="125"/>
      <c r="F895" s="183">
        <f>F896</f>
        <v>7010</v>
      </c>
      <c r="G895" s="183">
        <f t="shared" ref="G895:G898" si="320">G896</f>
        <v>7010</v>
      </c>
      <c r="H895" s="183">
        <f>G895/F895*100</f>
        <v>100</v>
      </c>
    </row>
    <row r="896" spans="1:8" s="31" customFormat="1" x14ac:dyDescent="0.2">
      <c r="A896" s="49" t="s">
        <v>382</v>
      </c>
      <c r="B896" s="22" t="s">
        <v>564</v>
      </c>
      <c r="C896" s="22" t="s">
        <v>475</v>
      </c>
      <c r="D896" s="29"/>
      <c r="E896" s="29"/>
      <c r="F896" s="38">
        <f>F897</f>
        <v>7010</v>
      </c>
      <c r="G896" s="38">
        <f t="shared" si="320"/>
        <v>7010</v>
      </c>
      <c r="H896" s="127">
        <f t="shared" si="306"/>
        <v>100</v>
      </c>
    </row>
    <row r="897" spans="1:8" s="31" customFormat="1" x14ac:dyDescent="0.2">
      <c r="A897" s="49" t="s">
        <v>371</v>
      </c>
      <c r="B897" s="22" t="s">
        <v>564</v>
      </c>
      <c r="C897" s="22" t="s">
        <v>475</v>
      </c>
      <c r="D897" s="22" t="s">
        <v>477</v>
      </c>
      <c r="E897" s="29"/>
      <c r="F897" s="38">
        <f>F898</f>
        <v>7010</v>
      </c>
      <c r="G897" s="38">
        <f t="shared" si="320"/>
        <v>7010</v>
      </c>
      <c r="H897" s="127">
        <f t="shared" si="306"/>
        <v>100</v>
      </c>
    </row>
    <row r="898" spans="1:8" s="31" customFormat="1" x14ac:dyDescent="0.2">
      <c r="A898" s="51" t="s">
        <v>104</v>
      </c>
      <c r="B898" s="29" t="s">
        <v>564</v>
      </c>
      <c r="C898" s="29" t="s">
        <v>475</v>
      </c>
      <c r="D898" s="29" t="s">
        <v>477</v>
      </c>
      <c r="E898" s="29" t="s">
        <v>391</v>
      </c>
      <c r="F898" s="37">
        <f>F899</f>
        <v>7010</v>
      </c>
      <c r="G898" s="37">
        <f t="shared" si="320"/>
        <v>7010</v>
      </c>
      <c r="H898" s="128">
        <f t="shared" si="306"/>
        <v>100</v>
      </c>
    </row>
    <row r="899" spans="1:8" s="31" customFormat="1" x14ac:dyDescent="0.2">
      <c r="A899" s="51" t="s">
        <v>105</v>
      </c>
      <c r="B899" s="29" t="s">
        <v>564</v>
      </c>
      <c r="C899" s="29" t="s">
        <v>475</v>
      </c>
      <c r="D899" s="29" t="s">
        <v>477</v>
      </c>
      <c r="E899" s="29" t="s">
        <v>409</v>
      </c>
      <c r="F899" s="37">
        <f>6610+400</f>
        <v>7010</v>
      </c>
      <c r="G899" s="37">
        <v>7010</v>
      </c>
      <c r="H899" s="128">
        <f t="shared" si="306"/>
        <v>100</v>
      </c>
    </row>
    <row r="900" spans="1:8" s="31" customFormat="1" ht="13.5" x14ac:dyDescent="0.2">
      <c r="A900" s="193" t="s">
        <v>674</v>
      </c>
      <c r="B900" s="125" t="s">
        <v>210</v>
      </c>
      <c r="C900" s="125"/>
      <c r="D900" s="125"/>
      <c r="E900" s="125"/>
      <c r="F900" s="183">
        <f>F901</f>
        <v>3454.7849999999999</v>
      </c>
      <c r="G900" s="183">
        <f t="shared" ref="G900:G903" si="321">G901</f>
        <v>2977.5718000000002</v>
      </c>
      <c r="H900" s="183">
        <f>G900/F900*100</f>
        <v>86.186891514233167</v>
      </c>
    </row>
    <row r="901" spans="1:8" s="31" customFormat="1" x14ac:dyDescent="0.2">
      <c r="A901" s="49" t="s">
        <v>358</v>
      </c>
      <c r="B901" s="22" t="s">
        <v>339</v>
      </c>
      <c r="C901" s="22" t="s">
        <v>416</v>
      </c>
      <c r="D901" s="22"/>
      <c r="E901" s="22"/>
      <c r="F901" s="38">
        <f>F902</f>
        <v>3454.7849999999999</v>
      </c>
      <c r="G901" s="38">
        <f t="shared" si="321"/>
        <v>2977.5718000000002</v>
      </c>
      <c r="H901" s="127">
        <f t="shared" si="306"/>
        <v>86.186891514233167</v>
      </c>
    </row>
    <row r="902" spans="1:8" s="31" customFormat="1" x14ac:dyDescent="0.2">
      <c r="A902" s="49" t="s">
        <v>362</v>
      </c>
      <c r="B902" s="22" t="s">
        <v>339</v>
      </c>
      <c r="C902" s="22" t="s">
        <v>416</v>
      </c>
      <c r="D902" s="22" t="s">
        <v>469</v>
      </c>
      <c r="E902" s="22"/>
      <c r="F902" s="38">
        <f>F903</f>
        <v>3454.7849999999999</v>
      </c>
      <c r="G902" s="38">
        <f t="shared" si="321"/>
        <v>2977.5718000000002</v>
      </c>
      <c r="H902" s="127">
        <f t="shared" si="306"/>
        <v>86.186891514233167</v>
      </c>
    </row>
    <row r="903" spans="1:8" s="31" customFormat="1" x14ac:dyDescent="0.2">
      <c r="A903" s="51" t="s">
        <v>294</v>
      </c>
      <c r="B903" s="29" t="s">
        <v>339</v>
      </c>
      <c r="C903" s="113" t="s">
        <v>416</v>
      </c>
      <c r="D903" s="113" t="s">
        <v>469</v>
      </c>
      <c r="E903" s="113" t="s">
        <v>84</v>
      </c>
      <c r="F903" s="114">
        <f>F904</f>
        <v>3454.7849999999999</v>
      </c>
      <c r="G903" s="114">
        <f t="shared" si="321"/>
        <v>2977.5718000000002</v>
      </c>
      <c r="H903" s="128">
        <f t="shared" si="306"/>
        <v>86.186891514233167</v>
      </c>
    </row>
    <row r="904" spans="1:8" s="31" customFormat="1" x14ac:dyDescent="0.2">
      <c r="A904" s="51" t="s">
        <v>85</v>
      </c>
      <c r="B904" s="29" t="s">
        <v>339</v>
      </c>
      <c r="C904" s="113" t="s">
        <v>416</v>
      </c>
      <c r="D904" s="113" t="s">
        <v>469</v>
      </c>
      <c r="E904" s="113" t="s">
        <v>86</v>
      </c>
      <c r="F904" s="114">
        <f>5000-300-795.215-450</f>
        <v>3454.7849999999999</v>
      </c>
      <c r="G904" s="114">
        <v>2977.5718000000002</v>
      </c>
      <c r="H904" s="128">
        <f t="shared" si="306"/>
        <v>86.186891514233167</v>
      </c>
    </row>
    <row r="905" spans="1:8" s="31" customFormat="1" ht="13.5" x14ac:dyDescent="0.2">
      <c r="A905" s="193" t="s">
        <v>405</v>
      </c>
      <c r="B905" s="125" t="s">
        <v>210</v>
      </c>
      <c r="C905" s="125"/>
      <c r="D905" s="125"/>
      <c r="E905" s="125"/>
      <c r="F905" s="183">
        <f>F906</f>
        <v>377.41383999999999</v>
      </c>
      <c r="G905" s="183">
        <f t="shared" ref="G905:G906" si="322">G906</f>
        <v>210.00592</v>
      </c>
      <c r="H905" s="183">
        <f>G905/F905*100</f>
        <v>55.643407247598553</v>
      </c>
    </row>
    <row r="906" spans="1:8" s="31" customFormat="1" x14ac:dyDescent="0.2">
      <c r="A906" s="49" t="s">
        <v>364</v>
      </c>
      <c r="B906" s="22" t="s">
        <v>340</v>
      </c>
      <c r="C906" s="22" t="s">
        <v>476</v>
      </c>
      <c r="D906" s="22"/>
      <c r="E906" s="64"/>
      <c r="F906" s="38">
        <f>F907</f>
        <v>377.41383999999999</v>
      </c>
      <c r="G906" s="38">
        <f t="shared" si="322"/>
        <v>210.00592</v>
      </c>
      <c r="H906" s="127">
        <f t="shared" si="306"/>
        <v>55.643407247598553</v>
      </c>
    </row>
    <row r="907" spans="1:8" s="31" customFormat="1" x14ac:dyDescent="0.2">
      <c r="A907" s="52" t="s">
        <v>367</v>
      </c>
      <c r="B907" s="22" t="s">
        <v>340</v>
      </c>
      <c r="C907" s="22" t="s">
        <v>476</v>
      </c>
      <c r="D907" s="22" t="s">
        <v>476</v>
      </c>
      <c r="E907" s="22"/>
      <c r="F907" s="38">
        <f>F908+F910</f>
        <v>377.41383999999999</v>
      </c>
      <c r="G907" s="38">
        <f t="shared" ref="G907" si="323">G908+G910</f>
        <v>210.00592</v>
      </c>
      <c r="H907" s="127">
        <f t="shared" si="306"/>
        <v>55.643407247598553</v>
      </c>
    </row>
    <row r="908" spans="1:8" s="31" customFormat="1" x14ac:dyDescent="0.2">
      <c r="A908" s="51" t="s">
        <v>294</v>
      </c>
      <c r="B908" s="29" t="s">
        <v>340</v>
      </c>
      <c r="C908" s="29" t="s">
        <v>476</v>
      </c>
      <c r="D908" s="29" t="s">
        <v>476</v>
      </c>
      <c r="E908" s="29" t="s">
        <v>84</v>
      </c>
      <c r="F908" s="37">
        <f>F909</f>
        <v>72.766590000000008</v>
      </c>
      <c r="G908" s="37">
        <f t="shared" ref="G908" si="324">G909</f>
        <v>71.771230000000003</v>
      </c>
      <c r="H908" s="128">
        <f t="shared" si="306"/>
        <v>98.632119493300422</v>
      </c>
    </row>
    <row r="909" spans="1:8" s="31" customFormat="1" x14ac:dyDescent="0.2">
      <c r="A909" s="51" t="s">
        <v>85</v>
      </c>
      <c r="B909" s="29" t="s">
        <v>340</v>
      </c>
      <c r="C909" s="29" t="s">
        <v>476</v>
      </c>
      <c r="D909" s="29" t="s">
        <v>476</v>
      </c>
      <c r="E909" s="29" t="s">
        <v>86</v>
      </c>
      <c r="F909" s="37">
        <f>750-304.64725-192.58616-180</f>
        <v>72.766590000000008</v>
      </c>
      <c r="G909" s="37">
        <v>71.771230000000003</v>
      </c>
      <c r="H909" s="128">
        <f t="shared" si="306"/>
        <v>98.632119493300422</v>
      </c>
    </row>
    <row r="910" spans="1:8" s="31" customFormat="1" x14ac:dyDescent="0.2">
      <c r="A910" s="51" t="s">
        <v>104</v>
      </c>
      <c r="B910" s="29" t="s">
        <v>340</v>
      </c>
      <c r="C910" s="29" t="s">
        <v>476</v>
      </c>
      <c r="D910" s="29" t="s">
        <v>476</v>
      </c>
      <c r="E910" s="29" t="s">
        <v>391</v>
      </c>
      <c r="F910" s="37">
        <f>F911</f>
        <v>304.64724999999999</v>
      </c>
      <c r="G910" s="37">
        <f t="shared" ref="G910" si="325">G911</f>
        <v>138.23469</v>
      </c>
      <c r="H910" s="128">
        <f t="shared" si="306"/>
        <v>45.375328351068326</v>
      </c>
    </row>
    <row r="911" spans="1:8" s="31" customFormat="1" x14ac:dyDescent="0.2">
      <c r="A911" s="51" t="s">
        <v>105</v>
      </c>
      <c r="B911" s="29" t="s">
        <v>340</v>
      </c>
      <c r="C911" s="29" t="s">
        <v>476</v>
      </c>
      <c r="D911" s="29" t="s">
        <v>476</v>
      </c>
      <c r="E911" s="29" t="s">
        <v>409</v>
      </c>
      <c r="F911" s="37">
        <v>304.64724999999999</v>
      </c>
      <c r="G911" s="37">
        <v>138.23469</v>
      </c>
      <c r="H911" s="128">
        <f t="shared" si="306"/>
        <v>45.375328351068326</v>
      </c>
    </row>
    <row r="912" spans="1:8" s="31" customFormat="1" ht="13.5" x14ac:dyDescent="0.2">
      <c r="A912" s="124" t="s">
        <v>412</v>
      </c>
      <c r="B912" s="125" t="s">
        <v>209</v>
      </c>
      <c r="C912" s="125"/>
      <c r="D912" s="125"/>
      <c r="E912" s="125"/>
      <c r="F912" s="183">
        <f>F913</f>
        <v>64640.600000000006</v>
      </c>
      <c r="G912" s="183">
        <f t="shared" ref="G912:G916" si="326">G913</f>
        <v>63700.364379999999</v>
      </c>
      <c r="H912" s="183">
        <f>G912/F912*100</f>
        <v>98.545441069544509</v>
      </c>
    </row>
    <row r="913" spans="1:8" s="31" customFormat="1" x14ac:dyDescent="0.2">
      <c r="A913" s="65" t="s">
        <v>383</v>
      </c>
      <c r="B913" s="22" t="s">
        <v>652</v>
      </c>
      <c r="C913" s="22" t="s">
        <v>93</v>
      </c>
      <c r="D913" s="22"/>
      <c r="E913" s="22"/>
      <c r="F913" s="38">
        <f>F914</f>
        <v>64640.600000000006</v>
      </c>
      <c r="G913" s="38">
        <f t="shared" si="326"/>
        <v>63700.364379999999</v>
      </c>
      <c r="H913" s="127">
        <f t="shared" si="306"/>
        <v>98.545441069544509</v>
      </c>
    </row>
    <row r="914" spans="1:8" s="31" customFormat="1" ht="15.75" x14ac:dyDescent="0.2">
      <c r="A914" s="65" t="s">
        <v>412</v>
      </c>
      <c r="B914" s="22" t="s">
        <v>652</v>
      </c>
      <c r="C914" s="22" t="s">
        <v>93</v>
      </c>
      <c r="D914" s="22" t="s">
        <v>76</v>
      </c>
      <c r="E914" s="42"/>
      <c r="F914" s="38">
        <f>F915</f>
        <v>64640.600000000006</v>
      </c>
      <c r="G914" s="38">
        <f t="shared" si="326"/>
        <v>63700.364379999999</v>
      </c>
      <c r="H914" s="127">
        <f t="shared" si="306"/>
        <v>98.545441069544509</v>
      </c>
    </row>
    <row r="915" spans="1:8" s="31" customFormat="1" x14ac:dyDescent="0.2">
      <c r="A915" s="69" t="s">
        <v>309</v>
      </c>
      <c r="B915" s="46" t="s">
        <v>652</v>
      </c>
      <c r="C915" s="32" t="s">
        <v>93</v>
      </c>
      <c r="D915" s="32" t="s">
        <v>76</v>
      </c>
      <c r="E915" s="32"/>
      <c r="F915" s="73">
        <f>F916</f>
        <v>64640.600000000006</v>
      </c>
      <c r="G915" s="73">
        <f t="shared" si="326"/>
        <v>63700.364379999999</v>
      </c>
      <c r="H915" s="204">
        <f t="shared" si="306"/>
        <v>98.545441069544509</v>
      </c>
    </row>
    <row r="916" spans="1:8" s="31" customFormat="1" x14ac:dyDescent="0.2">
      <c r="A916" s="68" t="s">
        <v>298</v>
      </c>
      <c r="B916" s="29" t="s">
        <v>652</v>
      </c>
      <c r="C916" s="29" t="s">
        <v>93</v>
      </c>
      <c r="D916" s="29" t="s">
        <v>76</v>
      </c>
      <c r="E916" s="29" t="s">
        <v>299</v>
      </c>
      <c r="F916" s="37">
        <f>F917</f>
        <v>64640.600000000006</v>
      </c>
      <c r="G916" s="37">
        <f t="shared" si="326"/>
        <v>63700.364379999999</v>
      </c>
      <c r="H916" s="128">
        <f t="shared" si="306"/>
        <v>98.545441069544509</v>
      </c>
    </row>
    <row r="917" spans="1:8" s="31" customFormat="1" x14ac:dyDescent="0.2">
      <c r="A917" s="68" t="s">
        <v>300</v>
      </c>
      <c r="B917" s="29" t="s">
        <v>652</v>
      </c>
      <c r="C917" s="29" t="s">
        <v>93</v>
      </c>
      <c r="D917" s="29" t="s">
        <v>76</v>
      </c>
      <c r="E917" s="29" t="s">
        <v>397</v>
      </c>
      <c r="F917" s="37">
        <f>115000-1859.4-1921.708-46578.292</f>
        <v>64640.600000000006</v>
      </c>
      <c r="G917" s="37">
        <v>63700.364379999999</v>
      </c>
      <c r="H917" s="128">
        <f t="shared" si="306"/>
        <v>98.545441069544509</v>
      </c>
    </row>
    <row r="918" spans="1:8" s="31" customFormat="1" ht="27" x14ac:dyDescent="0.2">
      <c r="A918" s="193" t="s">
        <v>301</v>
      </c>
      <c r="B918" s="125" t="s">
        <v>210</v>
      </c>
      <c r="C918" s="125"/>
      <c r="D918" s="125"/>
      <c r="E918" s="177"/>
      <c r="F918" s="183">
        <f>F919</f>
        <v>1000</v>
      </c>
      <c r="G918" s="183">
        <f t="shared" ref="G918:G921" si="327">G919</f>
        <v>454.81666000000001</v>
      </c>
      <c r="H918" s="183">
        <f>G918/F918*100</f>
        <v>45.481666000000004</v>
      </c>
    </row>
    <row r="919" spans="1:8" s="31" customFormat="1" x14ac:dyDescent="0.2">
      <c r="A919" s="49" t="s">
        <v>114</v>
      </c>
      <c r="B919" s="22" t="s">
        <v>653</v>
      </c>
      <c r="C919" s="22" t="s">
        <v>76</v>
      </c>
      <c r="D919" s="23"/>
      <c r="E919" s="53"/>
      <c r="F919" s="38">
        <f>F920</f>
        <v>1000</v>
      </c>
      <c r="G919" s="38">
        <f t="shared" si="327"/>
        <v>454.81666000000001</v>
      </c>
      <c r="H919" s="127">
        <f t="shared" si="306"/>
        <v>45.481666000000004</v>
      </c>
    </row>
    <row r="920" spans="1:8" s="31" customFormat="1" x14ac:dyDescent="0.2">
      <c r="A920" s="49" t="s">
        <v>411</v>
      </c>
      <c r="B920" s="22" t="s">
        <v>653</v>
      </c>
      <c r="C920" s="22" t="s">
        <v>76</v>
      </c>
      <c r="D920" s="22" t="s">
        <v>93</v>
      </c>
      <c r="E920" s="22"/>
      <c r="F920" s="38">
        <f>F921</f>
        <v>1000</v>
      </c>
      <c r="G920" s="38">
        <f t="shared" si="327"/>
        <v>454.81666000000001</v>
      </c>
      <c r="H920" s="127">
        <f t="shared" si="306"/>
        <v>45.481666000000004</v>
      </c>
    </row>
    <row r="921" spans="1:8" s="31" customFormat="1" x14ac:dyDescent="0.2">
      <c r="A921" s="51" t="s">
        <v>294</v>
      </c>
      <c r="B921" s="29" t="s">
        <v>653</v>
      </c>
      <c r="C921" s="29" t="s">
        <v>76</v>
      </c>
      <c r="D921" s="29" t="s">
        <v>93</v>
      </c>
      <c r="E921" s="30">
        <v>200</v>
      </c>
      <c r="F921" s="37">
        <f>F922</f>
        <v>1000</v>
      </c>
      <c r="G921" s="37">
        <f t="shared" si="327"/>
        <v>454.81666000000001</v>
      </c>
      <c r="H921" s="128">
        <f t="shared" si="306"/>
        <v>45.481666000000004</v>
      </c>
    </row>
    <row r="922" spans="1:8" s="31" customFormat="1" x14ac:dyDescent="0.2">
      <c r="A922" s="51" t="s">
        <v>85</v>
      </c>
      <c r="B922" s="29" t="s">
        <v>653</v>
      </c>
      <c r="C922" s="29" t="s">
        <v>76</v>
      </c>
      <c r="D922" s="29" t="s">
        <v>93</v>
      </c>
      <c r="E922" s="29" t="s">
        <v>86</v>
      </c>
      <c r="F922" s="37">
        <v>1000</v>
      </c>
      <c r="G922" s="37">
        <v>454.81666000000001</v>
      </c>
      <c r="H922" s="128">
        <f t="shared" ref="H922:H989" si="328">G922/F922*100</f>
        <v>45.481666000000004</v>
      </c>
    </row>
    <row r="923" spans="1:8" s="31" customFormat="1" ht="13.5" x14ac:dyDescent="0.2">
      <c r="A923" s="124" t="s">
        <v>341</v>
      </c>
      <c r="B923" s="125" t="s">
        <v>209</v>
      </c>
      <c r="C923" s="125"/>
      <c r="D923" s="125"/>
      <c r="E923" s="125"/>
      <c r="F923" s="183">
        <f>F924</f>
        <v>960</v>
      </c>
      <c r="G923" s="183">
        <f t="shared" ref="G923:G926" si="329">G924</f>
        <v>103.125</v>
      </c>
      <c r="H923" s="183">
        <f>G923/F923*100</f>
        <v>10.7421875</v>
      </c>
    </row>
    <row r="924" spans="1:8" s="31" customFormat="1" ht="13.5" x14ac:dyDescent="0.2">
      <c r="A924" s="49" t="s">
        <v>353</v>
      </c>
      <c r="B924" s="22" t="s">
        <v>654</v>
      </c>
      <c r="C924" s="22" t="s">
        <v>78</v>
      </c>
      <c r="D924" s="45"/>
      <c r="E924" s="45"/>
      <c r="F924" s="38">
        <f>F925</f>
        <v>960</v>
      </c>
      <c r="G924" s="38">
        <f t="shared" si="329"/>
        <v>103.125</v>
      </c>
      <c r="H924" s="127">
        <f t="shared" si="328"/>
        <v>10.7421875</v>
      </c>
    </row>
    <row r="925" spans="1:8" s="31" customFormat="1" ht="13.5" x14ac:dyDescent="0.2">
      <c r="A925" s="49" t="s">
        <v>388</v>
      </c>
      <c r="B925" s="22" t="s">
        <v>654</v>
      </c>
      <c r="C925" s="22" t="s">
        <v>78</v>
      </c>
      <c r="D925" s="22" t="s">
        <v>475</v>
      </c>
      <c r="E925" s="45"/>
      <c r="F925" s="38">
        <f>F926</f>
        <v>960</v>
      </c>
      <c r="G925" s="38">
        <f t="shared" si="329"/>
        <v>103.125</v>
      </c>
      <c r="H925" s="127">
        <f t="shared" si="328"/>
        <v>10.7421875</v>
      </c>
    </row>
    <row r="926" spans="1:8" s="31" customFormat="1" x14ac:dyDescent="0.2">
      <c r="A926" s="68" t="s">
        <v>294</v>
      </c>
      <c r="B926" s="29" t="s">
        <v>654</v>
      </c>
      <c r="C926" s="29" t="s">
        <v>78</v>
      </c>
      <c r="D926" s="29" t="s">
        <v>475</v>
      </c>
      <c r="E926" s="29" t="s">
        <v>84</v>
      </c>
      <c r="F926" s="37">
        <f>F927</f>
        <v>960</v>
      </c>
      <c r="G926" s="37">
        <f t="shared" si="329"/>
        <v>103.125</v>
      </c>
      <c r="H926" s="128">
        <f t="shared" si="328"/>
        <v>10.7421875</v>
      </c>
    </row>
    <row r="927" spans="1:8" s="31" customFormat="1" x14ac:dyDescent="0.2">
      <c r="A927" s="68" t="s">
        <v>85</v>
      </c>
      <c r="B927" s="29" t="s">
        <v>654</v>
      </c>
      <c r="C927" s="29" t="s">
        <v>78</v>
      </c>
      <c r="D927" s="29" t="s">
        <v>475</v>
      </c>
      <c r="E927" s="29" t="s">
        <v>86</v>
      </c>
      <c r="F927" s="37">
        <f>1000-40</f>
        <v>960</v>
      </c>
      <c r="G927" s="37">
        <v>103.125</v>
      </c>
      <c r="H927" s="128">
        <f t="shared" si="328"/>
        <v>10.7421875</v>
      </c>
    </row>
    <row r="928" spans="1:8" s="31" customFormat="1" ht="13.5" x14ac:dyDescent="0.2">
      <c r="A928" s="193" t="s">
        <v>692</v>
      </c>
      <c r="B928" s="125" t="s">
        <v>210</v>
      </c>
      <c r="C928" s="125"/>
      <c r="D928" s="125"/>
      <c r="E928" s="125"/>
      <c r="F928" s="183">
        <f>F929+F934</f>
        <v>33664.167000000001</v>
      </c>
      <c r="G928" s="183">
        <f t="shared" ref="G928" si="330">G929+G934</f>
        <v>31911.275000000001</v>
      </c>
      <c r="H928" s="183">
        <f>G928/F928*100</f>
        <v>94.79300349240782</v>
      </c>
    </row>
    <row r="929" spans="1:8" s="31" customFormat="1" x14ac:dyDescent="0.2">
      <c r="A929" s="49" t="s">
        <v>389</v>
      </c>
      <c r="B929" s="22" t="s">
        <v>691</v>
      </c>
      <c r="C929" s="22" t="s">
        <v>501</v>
      </c>
      <c r="D929" s="22"/>
      <c r="E929" s="22"/>
      <c r="F929" s="38">
        <f>F930</f>
        <v>30664.167000000001</v>
      </c>
      <c r="G929" s="38">
        <f t="shared" ref="G929:G932" si="331">G930</f>
        <v>30664.167000000001</v>
      </c>
      <c r="H929" s="127">
        <f t="shared" si="328"/>
        <v>100</v>
      </c>
    </row>
    <row r="930" spans="1:8" s="31" customFormat="1" x14ac:dyDescent="0.2">
      <c r="A930" s="49" t="s">
        <v>377</v>
      </c>
      <c r="B930" s="22" t="s">
        <v>691</v>
      </c>
      <c r="C930" s="22" t="s">
        <v>501</v>
      </c>
      <c r="D930" s="22" t="s">
        <v>469</v>
      </c>
      <c r="E930" s="22"/>
      <c r="F930" s="38">
        <f>F931</f>
        <v>30664.167000000001</v>
      </c>
      <c r="G930" s="38">
        <f t="shared" si="331"/>
        <v>30664.167000000001</v>
      </c>
      <c r="H930" s="127">
        <f t="shared" si="328"/>
        <v>100</v>
      </c>
    </row>
    <row r="931" spans="1:8" s="31" customFormat="1" x14ac:dyDescent="0.2">
      <c r="A931" s="65" t="s">
        <v>690</v>
      </c>
      <c r="B931" s="22" t="s">
        <v>691</v>
      </c>
      <c r="C931" s="22" t="s">
        <v>501</v>
      </c>
      <c r="D931" s="22" t="s">
        <v>469</v>
      </c>
      <c r="E931" s="22"/>
      <c r="F931" s="38">
        <f>F932</f>
        <v>30664.167000000001</v>
      </c>
      <c r="G931" s="38">
        <f t="shared" si="331"/>
        <v>30664.167000000001</v>
      </c>
      <c r="H931" s="127">
        <f t="shared" si="328"/>
        <v>100</v>
      </c>
    </row>
    <row r="932" spans="1:8" s="31" customFormat="1" x14ac:dyDescent="0.2">
      <c r="A932" s="51" t="s">
        <v>95</v>
      </c>
      <c r="B932" s="29" t="s">
        <v>691</v>
      </c>
      <c r="C932" s="29" t="s">
        <v>501</v>
      </c>
      <c r="D932" s="29" t="s">
        <v>469</v>
      </c>
      <c r="E932" s="29" t="s">
        <v>94</v>
      </c>
      <c r="F932" s="37">
        <f>F933</f>
        <v>30664.167000000001</v>
      </c>
      <c r="G932" s="37">
        <f t="shared" si="331"/>
        <v>30664.167000000001</v>
      </c>
      <c r="H932" s="128">
        <f t="shared" si="328"/>
        <v>100</v>
      </c>
    </row>
    <row r="933" spans="1:8" s="31" customFormat="1" x14ac:dyDescent="0.2">
      <c r="A933" s="51" t="s">
        <v>96</v>
      </c>
      <c r="B933" s="29" t="s">
        <v>691</v>
      </c>
      <c r="C933" s="29" t="s">
        <v>501</v>
      </c>
      <c r="D933" s="29" t="s">
        <v>469</v>
      </c>
      <c r="E933" s="29" t="s">
        <v>97</v>
      </c>
      <c r="F933" s="37">
        <v>30664.167000000001</v>
      </c>
      <c r="G933" s="37">
        <v>30664.167000000001</v>
      </c>
      <c r="H933" s="128">
        <f t="shared" si="328"/>
        <v>100</v>
      </c>
    </row>
    <row r="934" spans="1:8" s="31" customFormat="1" x14ac:dyDescent="0.2">
      <c r="A934" s="49" t="s">
        <v>389</v>
      </c>
      <c r="B934" s="22" t="s">
        <v>482</v>
      </c>
      <c r="C934" s="22" t="s">
        <v>501</v>
      </c>
      <c r="D934" s="22"/>
      <c r="E934" s="22"/>
      <c r="F934" s="38">
        <f>F935</f>
        <v>3000</v>
      </c>
      <c r="G934" s="38">
        <f t="shared" ref="G934:G937" si="332">G935</f>
        <v>1247.1079999999999</v>
      </c>
      <c r="H934" s="127">
        <f t="shared" si="328"/>
        <v>41.570266666666669</v>
      </c>
    </row>
    <row r="935" spans="1:8" s="31" customFormat="1" x14ac:dyDescent="0.2">
      <c r="A935" s="49" t="s">
        <v>377</v>
      </c>
      <c r="B935" s="22" t="s">
        <v>482</v>
      </c>
      <c r="C935" s="22" t="s">
        <v>501</v>
      </c>
      <c r="D935" s="22" t="s">
        <v>469</v>
      </c>
      <c r="E935" s="22"/>
      <c r="F935" s="38">
        <f>F936</f>
        <v>3000</v>
      </c>
      <c r="G935" s="38">
        <f t="shared" si="332"/>
        <v>1247.1079999999999</v>
      </c>
      <c r="H935" s="127">
        <f t="shared" si="328"/>
        <v>41.570266666666669</v>
      </c>
    </row>
    <row r="936" spans="1:8" s="31" customFormat="1" ht="15" customHeight="1" x14ac:dyDescent="0.2">
      <c r="A936" s="65" t="s">
        <v>443</v>
      </c>
      <c r="B936" s="22" t="s">
        <v>482</v>
      </c>
      <c r="C936" s="22" t="s">
        <v>501</v>
      </c>
      <c r="D936" s="22" t="s">
        <v>469</v>
      </c>
      <c r="E936" s="22"/>
      <c r="F936" s="38">
        <f>F937</f>
        <v>3000</v>
      </c>
      <c r="G936" s="38">
        <f t="shared" si="332"/>
        <v>1247.1079999999999</v>
      </c>
      <c r="H936" s="127">
        <f t="shared" si="328"/>
        <v>41.570266666666669</v>
      </c>
    </row>
    <row r="937" spans="1:8" s="31" customFormat="1" x14ac:dyDescent="0.2">
      <c r="A937" s="51" t="s">
        <v>95</v>
      </c>
      <c r="B937" s="29" t="s">
        <v>482</v>
      </c>
      <c r="C937" s="29" t="s">
        <v>501</v>
      </c>
      <c r="D937" s="29" t="s">
        <v>469</v>
      </c>
      <c r="E937" s="29" t="s">
        <v>94</v>
      </c>
      <c r="F937" s="37">
        <f>F938</f>
        <v>3000</v>
      </c>
      <c r="G937" s="37">
        <f t="shared" si="332"/>
        <v>1247.1079999999999</v>
      </c>
      <c r="H937" s="128">
        <f t="shared" si="328"/>
        <v>41.570266666666669</v>
      </c>
    </row>
    <row r="938" spans="1:8" s="31" customFormat="1" x14ac:dyDescent="0.2">
      <c r="A938" s="51" t="s">
        <v>96</v>
      </c>
      <c r="B938" s="29" t="s">
        <v>482</v>
      </c>
      <c r="C938" s="29" t="s">
        <v>501</v>
      </c>
      <c r="D938" s="29" t="s">
        <v>469</v>
      </c>
      <c r="E938" s="29" t="s">
        <v>97</v>
      </c>
      <c r="F938" s="37">
        <v>3000</v>
      </c>
      <c r="G938" s="37">
        <v>1247.1079999999999</v>
      </c>
      <c r="H938" s="128">
        <f t="shared" si="328"/>
        <v>41.570266666666669</v>
      </c>
    </row>
    <row r="939" spans="1:8" s="31" customFormat="1" ht="27" x14ac:dyDescent="0.2">
      <c r="A939" s="193" t="s">
        <v>27</v>
      </c>
      <c r="B939" s="125" t="s">
        <v>173</v>
      </c>
      <c r="C939" s="125"/>
      <c r="D939" s="125"/>
      <c r="E939" s="125"/>
      <c r="F939" s="183">
        <f>F940</f>
        <v>2194</v>
      </c>
      <c r="G939" s="183">
        <f t="shared" ref="G939:G943" si="333">G940</f>
        <v>2186.8452000000002</v>
      </c>
      <c r="H939" s="183">
        <f>G939/F939*100</f>
        <v>99.673892433910666</v>
      </c>
    </row>
    <row r="940" spans="1:8" s="31" customFormat="1" x14ac:dyDescent="0.2">
      <c r="A940" s="50" t="s">
        <v>35</v>
      </c>
      <c r="B940" s="22" t="s">
        <v>173</v>
      </c>
      <c r="C940" s="22"/>
      <c r="D940" s="22"/>
      <c r="E940" s="22"/>
      <c r="F940" s="38">
        <f>F941</f>
        <v>2194</v>
      </c>
      <c r="G940" s="38">
        <f t="shared" si="333"/>
        <v>2186.8452000000002</v>
      </c>
      <c r="H940" s="127">
        <f t="shared" si="328"/>
        <v>99.673892433910666</v>
      </c>
    </row>
    <row r="941" spans="1:8" s="31" customFormat="1" x14ac:dyDescent="0.2">
      <c r="A941" s="49" t="s">
        <v>114</v>
      </c>
      <c r="B941" s="22" t="s">
        <v>226</v>
      </c>
      <c r="C941" s="34" t="s">
        <v>76</v>
      </c>
      <c r="D941" s="34"/>
      <c r="E941" s="29"/>
      <c r="F941" s="38">
        <f>F942</f>
        <v>2194</v>
      </c>
      <c r="G941" s="38">
        <f t="shared" si="333"/>
        <v>2186.8452000000002</v>
      </c>
      <c r="H941" s="127">
        <f t="shared" si="328"/>
        <v>99.673892433910666</v>
      </c>
    </row>
    <row r="942" spans="1:8" s="31" customFormat="1" x14ac:dyDescent="0.2">
      <c r="A942" s="49" t="s">
        <v>411</v>
      </c>
      <c r="B942" s="22" t="s">
        <v>226</v>
      </c>
      <c r="C942" s="34" t="s">
        <v>76</v>
      </c>
      <c r="D942" s="34" t="s">
        <v>93</v>
      </c>
      <c r="E942" s="23"/>
      <c r="F942" s="38">
        <f>F943</f>
        <v>2194</v>
      </c>
      <c r="G942" s="38">
        <f t="shared" si="333"/>
        <v>2186.8452000000002</v>
      </c>
      <c r="H942" s="127">
        <f t="shared" si="328"/>
        <v>99.673892433910666</v>
      </c>
    </row>
    <row r="943" spans="1:8" s="31" customFormat="1" ht="36" x14ac:dyDescent="0.2">
      <c r="A943" s="51" t="s">
        <v>79</v>
      </c>
      <c r="B943" s="29" t="s">
        <v>226</v>
      </c>
      <c r="C943" s="29" t="s">
        <v>76</v>
      </c>
      <c r="D943" s="29" t="s">
        <v>93</v>
      </c>
      <c r="E943" s="29" t="s">
        <v>80</v>
      </c>
      <c r="F943" s="37">
        <f>F944</f>
        <v>2194</v>
      </c>
      <c r="G943" s="37">
        <f t="shared" si="333"/>
        <v>2186.8452000000002</v>
      </c>
      <c r="H943" s="128">
        <f t="shared" si="328"/>
        <v>99.673892433910666</v>
      </c>
    </row>
    <row r="944" spans="1:8" s="31" customFormat="1" x14ac:dyDescent="0.2">
      <c r="A944" s="51" t="s">
        <v>81</v>
      </c>
      <c r="B944" s="29" t="s">
        <v>226</v>
      </c>
      <c r="C944" s="29" t="s">
        <v>76</v>
      </c>
      <c r="D944" s="29" t="s">
        <v>93</v>
      </c>
      <c r="E944" s="29" t="s">
        <v>82</v>
      </c>
      <c r="F944" s="37">
        <v>2194</v>
      </c>
      <c r="G944" s="37">
        <v>2186.8452000000002</v>
      </c>
      <c r="H944" s="128">
        <f t="shared" si="328"/>
        <v>99.673892433910666</v>
      </c>
    </row>
    <row r="945" spans="1:8" ht="14.25" customHeight="1" x14ac:dyDescent="0.2">
      <c r="A945" s="124" t="s">
        <v>441</v>
      </c>
      <c r="B945" s="125" t="s">
        <v>210</v>
      </c>
      <c r="C945" s="125"/>
      <c r="D945" s="125"/>
      <c r="E945" s="125"/>
      <c r="F945" s="183">
        <f>F946</f>
        <v>189.5</v>
      </c>
      <c r="G945" s="291">
        <f t="shared" ref="G945:G948" si="334">G946</f>
        <v>0</v>
      </c>
      <c r="H945" s="291">
        <f>G945/F945*100</f>
        <v>0</v>
      </c>
    </row>
    <row r="946" spans="1:8" x14ac:dyDescent="0.2">
      <c r="A946" s="49" t="s">
        <v>114</v>
      </c>
      <c r="B946" s="22" t="s">
        <v>344</v>
      </c>
      <c r="C946" s="34" t="s">
        <v>76</v>
      </c>
      <c r="D946" s="22"/>
      <c r="E946" s="22"/>
      <c r="F946" s="38">
        <f>F947</f>
        <v>189.5</v>
      </c>
      <c r="G946" s="292">
        <f t="shared" si="334"/>
        <v>0</v>
      </c>
      <c r="H946" s="284">
        <f t="shared" si="328"/>
        <v>0</v>
      </c>
    </row>
    <row r="947" spans="1:8" x14ac:dyDescent="0.2">
      <c r="A947" s="65" t="s">
        <v>438</v>
      </c>
      <c r="B947" s="22" t="s">
        <v>344</v>
      </c>
      <c r="C947" s="22" t="s">
        <v>76</v>
      </c>
      <c r="D947" s="22" t="s">
        <v>416</v>
      </c>
      <c r="E947" s="22"/>
      <c r="F947" s="38">
        <f>F948</f>
        <v>189.5</v>
      </c>
      <c r="G947" s="292">
        <f t="shared" si="334"/>
        <v>0</v>
      </c>
      <c r="H947" s="284">
        <f t="shared" si="328"/>
        <v>0</v>
      </c>
    </row>
    <row r="948" spans="1:8" x14ac:dyDescent="0.2">
      <c r="A948" s="68" t="s">
        <v>294</v>
      </c>
      <c r="B948" s="29" t="s">
        <v>344</v>
      </c>
      <c r="C948" s="29" t="s">
        <v>76</v>
      </c>
      <c r="D948" s="29" t="s">
        <v>416</v>
      </c>
      <c r="E948" s="29" t="s">
        <v>84</v>
      </c>
      <c r="F948" s="37">
        <f>F949</f>
        <v>189.5</v>
      </c>
      <c r="G948" s="293">
        <f t="shared" si="334"/>
        <v>0</v>
      </c>
      <c r="H948" s="284">
        <f t="shared" si="328"/>
        <v>0</v>
      </c>
    </row>
    <row r="949" spans="1:8" x14ac:dyDescent="0.2">
      <c r="A949" s="68" t="s">
        <v>85</v>
      </c>
      <c r="B949" s="29" t="s">
        <v>344</v>
      </c>
      <c r="C949" s="29" t="s">
        <v>76</v>
      </c>
      <c r="D949" s="29" t="s">
        <v>416</v>
      </c>
      <c r="E949" s="29" t="s">
        <v>86</v>
      </c>
      <c r="F949" s="37">
        <v>189.5</v>
      </c>
      <c r="G949" s="293">
        <v>0</v>
      </c>
      <c r="H949" s="284">
        <f t="shared" si="328"/>
        <v>0</v>
      </c>
    </row>
    <row r="950" spans="1:8" ht="13.5" x14ac:dyDescent="0.2">
      <c r="A950" s="124" t="s">
        <v>717</v>
      </c>
      <c r="B950" s="125" t="s">
        <v>210</v>
      </c>
      <c r="C950" s="125"/>
      <c r="D950" s="125"/>
      <c r="E950" s="125"/>
      <c r="F950" s="192">
        <f>F951</f>
        <v>1000</v>
      </c>
      <c r="G950" s="192">
        <f t="shared" ref="G950:G953" si="335">G951</f>
        <v>1000</v>
      </c>
      <c r="H950" s="192">
        <f>G950/F950*100</f>
        <v>100</v>
      </c>
    </row>
    <row r="951" spans="1:8" ht="13.5" x14ac:dyDescent="0.2">
      <c r="A951" s="49" t="s">
        <v>353</v>
      </c>
      <c r="B951" s="22" t="s">
        <v>718</v>
      </c>
      <c r="C951" s="22" t="s">
        <v>78</v>
      </c>
      <c r="D951" s="45"/>
      <c r="E951" s="29"/>
      <c r="F951" s="83">
        <f>F952</f>
        <v>1000</v>
      </c>
      <c r="G951" s="83">
        <f t="shared" si="335"/>
        <v>1000</v>
      </c>
      <c r="H951" s="127">
        <f t="shared" si="328"/>
        <v>100</v>
      </c>
    </row>
    <row r="952" spans="1:8" x14ac:dyDescent="0.2">
      <c r="A952" s="49" t="s">
        <v>388</v>
      </c>
      <c r="B952" s="22" t="s">
        <v>718</v>
      </c>
      <c r="C952" s="22" t="s">
        <v>78</v>
      </c>
      <c r="D952" s="22" t="s">
        <v>475</v>
      </c>
      <c r="E952" s="29"/>
      <c r="F952" s="83">
        <f>F953</f>
        <v>1000</v>
      </c>
      <c r="G952" s="83">
        <f t="shared" si="335"/>
        <v>1000</v>
      </c>
      <c r="H952" s="127">
        <f t="shared" si="328"/>
        <v>100</v>
      </c>
    </row>
    <row r="953" spans="1:8" x14ac:dyDescent="0.2">
      <c r="A953" s="112" t="s">
        <v>95</v>
      </c>
      <c r="B953" s="113" t="s">
        <v>718</v>
      </c>
      <c r="C953" s="113" t="s">
        <v>78</v>
      </c>
      <c r="D953" s="113" t="s">
        <v>475</v>
      </c>
      <c r="E953" s="29" t="s">
        <v>94</v>
      </c>
      <c r="F953" s="84">
        <f>F954</f>
        <v>1000</v>
      </c>
      <c r="G953" s="84">
        <f t="shared" si="335"/>
        <v>1000</v>
      </c>
      <c r="H953" s="128">
        <f t="shared" si="328"/>
        <v>100</v>
      </c>
    </row>
    <row r="954" spans="1:8" x14ac:dyDescent="0.2">
      <c r="A954" s="112" t="s">
        <v>676</v>
      </c>
      <c r="B954" s="113" t="s">
        <v>718</v>
      </c>
      <c r="C954" s="113" t="s">
        <v>78</v>
      </c>
      <c r="D954" s="113" t="s">
        <v>475</v>
      </c>
      <c r="E954" s="29" t="s">
        <v>656</v>
      </c>
      <c r="F954" s="84">
        <v>1000</v>
      </c>
      <c r="G954" s="84">
        <v>1000</v>
      </c>
      <c r="H954" s="128">
        <f t="shared" si="328"/>
        <v>100</v>
      </c>
    </row>
    <row r="955" spans="1:8" ht="27" x14ac:dyDescent="0.2">
      <c r="A955" s="184" t="s">
        <v>725</v>
      </c>
      <c r="B955" s="185" t="s">
        <v>210</v>
      </c>
      <c r="C955" s="206"/>
      <c r="D955" s="206"/>
      <c r="E955" s="206"/>
      <c r="F955" s="190">
        <f>F956</f>
        <v>836.02099999999996</v>
      </c>
      <c r="G955" s="190">
        <f t="shared" ref="G955:G958" si="336">G956</f>
        <v>836.02099999999996</v>
      </c>
      <c r="H955" s="190">
        <f>G955/F955*100</f>
        <v>100</v>
      </c>
    </row>
    <row r="956" spans="1:8" x14ac:dyDescent="0.2">
      <c r="A956" s="65" t="s">
        <v>353</v>
      </c>
      <c r="B956" s="22" t="s">
        <v>726</v>
      </c>
      <c r="C956" s="22" t="s">
        <v>78</v>
      </c>
      <c r="D956" s="22"/>
      <c r="E956" s="22"/>
      <c r="F956" s="38">
        <f>F957</f>
        <v>836.02099999999996</v>
      </c>
      <c r="G956" s="38">
        <f t="shared" si="336"/>
        <v>836.02099999999996</v>
      </c>
      <c r="H956" s="127">
        <f t="shared" si="328"/>
        <v>100</v>
      </c>
    </row>
    <row r="957" spans="1:8" x14ac:dyDescent="0.2">
      <c r="A957" s="65" t="s">
        <v>724</v>
      </c>
      <c r="B957" s="22" t="s">
        <v>726</v>
      </c>
      <c r="C957" s="22" t="s">
        <v>78</v>
      </c>
      <c r="D957" s="22" t="s">
        <v>76</v>
      </c>
      <c r="E957" s="22"/>
      <c r="F957" s="38">
        <f>F958</f>
        <v>836.02099999999996</v>
      </c>
      <c r="G957" s="38">
        <f t="shared" si="336"/>
        <v>836.02099999999996</v>
      </c>
      <c r="H957" s="127">
        <f t="shared" si="328"/>
        <v>100</v>
      </c>
    </row>
    <row r="958" spans="1:8" ht="36" x14ac:dyDescent="0.2">
      <c r="A958" s="68" t="s">
        <v>79</v>
      </c>
      <c r="B958" s="29" t="s">
        <v>726</v>
      </c>
      <c r="C958" s="29" t="s">
        <v>78</v>
      </c>
      <c r="D958" s="29" t="s">
        <v>76</v>
      </c>
      <c r="E958" s="29" t="s">
        <v>80</v>
      </c>
      <c r="F958" s="37">
        <f>F959</f>
        <v>836.02099999999996</v>
      </c>
      <c r="G958" s="37">
        <f t="shared" si="336"/>
        <v>836.02099999999996</v>
      </c>
      <c r="H958" s="128">
        <f t="shared" si="328"/>
        <v>100</v>
      </c>
    </row>
    <row r="959" spans="1:8" x14ac:dyDescent="0.2">
      <c r="A959" s="68" t="s">
        <v>81</v>
      </c>
      <c r="B959" s="29" t="s">
        <v>726</v>
      </c>
      <c r="C959" s="29" t="s">
        <v>78</v>
      </c>
      <c r="D959" s="29" t="s">
        <v>76</v>
      </c>
      <c r="E959" s="29" t="s">
        <v>82</v>
      </c>
      <c r="F959" s="37">
        <v>836.02099999999996</v>
      </c>
      <c r="G959" s="37">
        <v>836.02099999999996</v>
      </c>
      <c r="H959" s="128">
        <f t="shared" si="328"/>
        <v>100</v>
      </c>
    </row>
    <row r="960" spans="1:8" ht="13.5" x14ac:dyDescent="0.2">
      <c r="A960" s="294" t="s">
        <v>764</v>
      </c>
      <c r="B960" s="185" t="s">
        <v>765</v>
      </c>
      <c r="C960" s="185"/>
      <c r="D960" s="185"/>
      <c r="E960" s="185"/>
      <c r="F960" s="190">
        <f>F961</f>
        <v>100</v>
      </c>
      <c r="G960" s="283">
        <f t="shared" ref="G960:G963" si="337">G961</f>
        <v>0</v>
      </c>
      <c r="H960" s="283">
        <f>G960/F960*100</f>
        <v>0</v>
      </c>
    </row>
    <row r="961" spans="1:8" x14ac:dyDescent="0.2">
      <c r="A961" s="49" t="s">
        <v>114</v>
      </c>
      <c r="B961" s="104" t="s">
        <v>765</v>
      </c>
      <c r="C961" s="34" t="s">
        <v>76</v>
      </c>
      <c r="D961" s="34"/>
      <c r="E961" s="104"/>
      <c r="F961" s="105">
        <f>F962</f>
        <v>100</v>
      </c>
      <c r="G961" s="284">
        <f t="shared" si="337"/>
        <v>0</v>
      </c>
      <c r="H961" s="284">
        <f t="shared" si="328"/>
        <v>0</v>
      </c>
    </row>
    <row r="962" spans="1:8" x14ac:dyDescent="0.2">
      <c r="A962" s="49" t="s">
        <v>411</v>
      </c>
      <c r="B962" s="104" t="s">
        <v>765</v>
      </c>
      <c r="C962" s="34" t="s">
        <v>76</v>
      </c>
      <c r="D962" s="34" t="s">
        <v>93</v>
      </c>
      <c r="E962" s="104"/>
      <c r="F962" s="105">
        <f>F963</f>
        <v>100</v>
      </c>
      <c r="G962" s="284">
        <f t="shared" si="337"/>
        <v>0</v>
      </c>
      <c r="H962" s="284">
        <f t="shared" si="328"/>
        <v>0</v>
      </c>
    </row>
    <row r="963" spans="1:8" x14ac:dyDescent="0.2">
      <c r="A963" s="112" t="s">
        <v>95</v>
      </c>
      <c r="B963" s="113" t="s">
        <v>765</v>
      </c>
      <c r="C963" s="113" t="s">
        <v>76</v>
      </c>
      <c r="D963" s="113" t="s">
        <v>93</v>
      </c>
      <c r="E963" s="113" t="s">
        <v>94</v>
      </c>
      <c r="F963" s="114">
        <f>F964</f>
        <v>100</v>
      </c>
      <c r="G963" s="285">
        <f t="shared" si="337"/>
        <v>0</v>
      </c>
      <c r="H963" s="284">
        <f t="shared" si="328"/>
        <v>0</v>
      </c>
    </row>
    <row r="964" spans="1:8" x14ac:dyDescent="0.2">
      <c r="A964" s="112" t="s">
        <v>96</v>
      </c>
      <c r="B964" s="113" t="s">
        <v>765</v>
      </c>
      <c r="C964" s="113" t="s">
        <v>76</v>
      </c>
      <c r="D964" s="113" t="s">
        <v>93</v>
      </c>
      <c r="E964" s="113" t="s">
        <v>97</v>
      </c>
      <c r="F964" s="114">
        <v>100</v>
      </c>
      <c r="G964" s="285">
        <v>0</v>
      </c>
      <c r="H964" s="284">
        <f t="shared" si="328"/>
        <v>0</v>
      </c>
    </row>
    <row r="965" spans="1:8" ht="27" x14ac:dyDescent="0.2">
      <c r="A965" s="294" t="s">
        <v>768</v>
      </c>
      <c r="B965" s="295" t="s">
        <v>210</v>
      </c>
      <c r="C965" s="296"/>
      <c r="D965" s="296"/>
      <c r="E965" s="296"/>
      <c r="F965" s="297">
        <f>F966+F970+F974+F978+F982+F986+F990+F994</f>
        <v>5635</v>
      </c>
      <c r="G965" s="297">
        <f>G966+G970+G974+G978+G982+G986+G990+G994</f>
        <v>5608.8630300000004</v>
      </c>
      <c r="H965" s="297">
        <f t="shared" si="328"/>
        <v>99.536167346938782</v>
      </c>
    </row>
    <row r="966" spans="1:8" x14ac:dyDescent="0.2">
      <c r="A966" s="49" t="s">
        <v>114</v>
      </c>
      <c r="B966" s="104" t="s">
        <v>769</v>
      </c>
      <c r="C966" s="104" t="s">
        <v>76</v>
      </c>
      <c r="D966" s="104"/>
      <c r="E966" s="104"/>
      <c r="F966" s="105">
        <f t="shared" ref="F966:G968" si="338">F967</f>
        <v>195.3</v>
      </c>
      <c r="G966" s="105">
        <f t="shared" si="338"/>
        <v>195.3</v>
      </c>
      <c r="H966" s="38">
        <f t="shared" si="328"/>
        <v>100</v>
      </c>
    </row>
    <row r="967" spans="1:8" ht="24" x14ac:dyDescent="0.2">
      <c r="A967" s="103" t="s">
        <v>305</v>
      </c>
      <c r="B967" s="118" t="s">
        <v>769</v>
      </c>
      <c r="C967" s="118" t="s">
        <v>76</v>
      </c>
      <c r="D967" s="118" t="s">
        <v>477</v>
      </c>
      <c r="E967" s="104"/>
      <c r="F967" s="105">
        <f t="shared" si="338"/>
        <v>195.3</v>
      </c>
      <c r="G967" s="105">
        <f t="shared" si="338"/>
        <v>195.3</v>
      </c>
      <c r="H967" s="38">
        <f>G967/F967*100</f>
        <v>100</v>
      </c>
    </row>
    <row r="968" spans="1:8" ht="36" x14ac:dyDescent="0.2">
      <c r="A968" s="68" t="s">
        <v>79</v>
      </c>
      <c r="B968" s="113" t="s">
        <v>769</v>
      </c>
      <c r="C968" s="113" t="s">
        <v>76</v>
      </c>
      <c r="D968" s="113" t="s">
        <v>477</v>
      </c>
      <c r="E968" s="29" t="s">
        <v>80</v>
      </c>
      <c r="F968" s="105">
        <f t="shared" si="338"/>
        <v>195.3</v>
      </c>
      <c r="G968" s="105">
        <f t="shared" si="338"/>
        <v>195.3</v>
      </c>
      <c r="H968" s="38">
        <f t="shared" ref="H968:H970" si="339">G968/F968*100</f>
        <v>100</v>
      </c>
    </row>
    <row r="969" spans="1:8" x14ac:dyDescent="0.2">
      <c r="A969" s="68" t="s">
        <v>81</v>
      </c>
      <c r="B969" s="113" t="s">
        <v>769</v>
      </c>
      <c r="C969" s="113" t="s">
        <v>76</v>
      </c>
      <c r="D969" s="113" t="s">
        <v>477</v>
      </c>
      <c r="E969" s="29" t="s">
        <v>82</v>
      </c>
      <c r="F969" s="105">
        <v>195.3</v>
      </c>
      <c r="G969" s="105">
        <v>195.3</v>
      </c>
      <c r="H969" s="37">
        <f t="shared" si="339"/>
        <v>100</v>
      </c>
    </row>
    <row r="970" spans="1:8" x14ac:dyDescent="0.2">
      <c r="A970" s="49" t="s">
        <v>114</v>
      </c>
      <c r="B970" s="104" t="s">
        <v>769</v>
      </c>
      <c r="C970" s="104" t="s">
        <v>76</v>
      </c>
      <c r="D970" s="113"/>
      <c r="E970" s="29"/>
      <c r="F970" s="105">
        <f>F971</f>
        <v>3559.01494</v>
      </c>
      <c r="G970" s="105">
        <f>G971</f>
        <v>3545.9649399999998</v>
      </c>
      <c r="H970" s="38">
        <f t="shared" si="339"/>
        <v>99.633325506635828</v>
      </c>
    </row>
    <row r="971" spans="1:8" ht="24" x14ac:dyDescent="0.2">
      <c r="A971" s="103" t="s">
        <v>305</v>
      </c>
      <c r="B971" s="104" t="s">
        <v>769</v>
      </c>
      <c r="C971" s="104" t="s">
        <v>76</v>
      </c>
      <c r="D971" s="104" t="s">
        <v>78</v>
      </c>
      <c r="E971" s="104"/>
      <c r="F971" s="105">
        <f t="shared" ref="F971:G972" si="340">F972</f>
        <v>3559.01494</v>
      </c>
      <c r="G971" s="105">
        <f t="shared" si="340"/>
        <v>3545.9649399999998</v>
      </c>
      <c r="H971" s="38">
        <f t="shared" si="328"/>
        <v>99.633325506635828</v>
      </c>
    </row>
    <row r="972" spans="1:8" ht="36" x14ac:dyDescent="0.2">
      <c r="A972" s="68" t="s">
        <v>79</v>
      </c>
      <c r="B972" s="29" t="s">
        <v>769</v>
      </c>
      <c r="C972" s="29" t="s">
        <v>76</v>
      </c>
      <c r="D972" s="29" t="s">
        <v>78</v>
      </c>
      <c r="E972" s="29" t="s">
        <v>80</v>
      </c>
      <c r="F972" s="37">
        <f t="shared" si="340"/>
        <v>3559.01494</v>
      </c>
      <c r="G972" s="37">
        <f t="shared" si="340"/>
        <v>3545.9649399999998</v>
      </c>
      <c r="H972" s="37">
        <f t="shared" si="328"/>
        <v>99.633325506635828</v>
      </c>
    </row>
    <row r="973" spans="1:8" x14ac:dyDescent="0.2">
      <c r="A973" s="68" t="s">
        <v>81</v>
      </c>
      <c r="B973" s="29" t="s">
        <v>769</v>
      </c>
      <c r="C973" s="29" t="s">
        <v>76</v>
      </c>
      <c r="D973" s="29" t="s">
        <v>78</v>
      </c>
      <c r="E973" s="29" t="s">
        <v>82</v>
      </c>
      <c r="F973" s="37">
        <v>3559.01494</v>
      </c>
      <c r="G973" s="37">
        <v>3545.9649399999998</v>
      </c>
      <c r="H973" s="37">
        <f t="shared" si="328"/>
        <v>99.633325506635828</v>
      </c>
    </row>
    <row r="974" spans="1:8" x14ac:dyDescent="0.2">
      <c r="A974" s="49" t="s">
        <v>114</v>
      </c>
      <c r="B974" s="104" t="s">
        <v>769</v>
      </c>
      <c r="C974" s="104" t="s">
        <v>76</v>
      </c>
      <c r="D974" s="22"/>
      <c r="E974" s="22"/>
      <c r="F974" s="38">
        <f t="shared" ref="F974:G976" si="341">F975</f>
        <v>404.25144</v>
      </c>
      <c r="G974" s="38">
        <f t="shared" si="341"/>
        <v>404.25144</v>
      </c>
      <c r="H974" s="38">
        <f t="shared" si="328"/>
        <v>100</v>
      </c>
    </row>
    <row r="975" spans="1:8" ht="24" x14ac:dyDescent="0.2">
      <c r="A975" s="65" t="s">
        <v>308</v>
      </c>
      <c r="B975" s="104" t="s">
        <v>769</v>
      </c>
      <c r="C975" s="104" t="s">
        <v>76</v>
      </c>
      <c r="D975" s="22" t="s">
        <v>295</v>
      </c>
      <c r="E975" s="22"/>
      <c r="F975" s="38">
        <f t="shared" si="341"/>
        <v>404.25144</v>
      </c>
      <c r="G975" s="38">
        <f t="shared" si="341"/>
        <v>404.25144</v>
      </c>
      <c r="H975" s="38">
        <f t="shared" si="328"/>
        <v>100</v>
      </c>
    </row>
    <row r="976" spans="1:8" ht="36" x14ac:dyDescent="0.2">
      <c r="A976" s="68" t="s">
        <v>79</v>
      </c>
      <c r="B976" s="29" t="s">
        <v>769</v>
      </c>
      <c r="C976" s="29" t="s">
        <v>76</v>
      </c>
      <c r="D976" s="29" t="s">
        <v>295</v>
      </c>
      <c r="E976" s="29" t="s">
        <v>80</v>
      </c>
      <c r="F976" s="37">
        <f t="shared" si="341"/>
        <v>404.25144</v>
      </c>
      <c r="G976" s="37">
        <f t="shared" si="341"/>
        <v>404.25144</v>
      </c>
      <c r="H976" s="37">
        <f t="shared" si="328"/>
        <v>100</v>
      </c>
    </row>
    <row r="977" spans="1:8" x14ac:dyDescent="0.2">
      <c r="A977" s="68" t="s">
        <v>81</v>
      </c>
      <c r="B977" s="29" t="s">
        <v>769</v>
      </c>
      <c r="C977" s="29" t="s">
        <v>76</v>
      </c>
      <c r="D977" s="29" t="s">
        <v>295</v>
      </c>
      <c r="E977" s="29" t="s">
        <v>82</v>
      </c>
      <c r="F977" s="37">
        <v>404.25144</v>
      </c>
      <c r="G977" s="37">
        <v>404.25144</v>
      </c>
      <c r="H977" s="37">
        <f t="shared" si="328"/>
        <v>100</v>
      </c>
    </row>
    <row r="978" spans="1:8" x14ac:dyDescent="0.2">
      <c r="A978" s="62" t="s">
        <v>353</v>
      </c>
      <c r="B978" s="39" t="s">
        <v>769</v>
      </c>
      <c r="C978" s="22" t="s">
        <v>78</v>
      </c>
      <c r="D978" s="22"/>
      <c r="E978" s="29"/>
      <c r="F978" s="38">
        <f t="shared" ref="F978:G980" si="342">F979</f>
        <v>90.308750000000003</v>
      </c>
      <c r="G978" s="38">
        <f t="shared" si="342"/>
        <v>90.308750000000003</v>
      </c>
      <c r="H978" s="38">
        <f t="shared" si="328"/>
        <v>100</v>
      </c>
    </row>
    <row r="979" spans="1:8" x14ac:dyDescent="0.2">
      <c r="A979" s="61" t="s">
        <v>357</v>
      </c>
      <c r="B979" s="39" t="s">
        <v>769</v>
      </c>
      <c r="C979" s="22" t="s">
        <v>78</v>
      </c>
      <c r="D979" s="22" t="s">
        <v>474</v>
      </c>
      <c r="E979" s="22"/>
      <c r="F979" s="38">
        <f t="shared" si="342"/>
        <v>90.308750000000003</v>
      </c>
      <c r="G979" s="38">
        <f t="shared" si="342"/>
        <v>90.308750000000003</v>
      </c>
      <c r="H979" s="38">
        <f t="shared" si="328"/>
        <v>100</v>
      </c>
    </row>
    <row r="980" spans="1:8" ht="36" x14ac:dyDescent="0.2">
      <c r="A980" s="68" t="s">
        <v>79</v>
      </c>
      <c r="B980" s="29" t="s">
        <v>769</v>
      </c>
      <c r="C980" s="29" t="s">
        <v>78</v>
      </c>
      <c r="D980" s="29" t="s">
        <v>474</v>
      </c>
      <c r="E980" s="29" t="s">
        <v>80</v>
      </c>
      <c r="F980" s="37">
        <f t="shared" si="342"/>
        <v>90.308750000000003</v>
      </c>
      <c r="G980" s="37">
        <f t="shared" si="342"/>
        <v>90.308750000000003</v>
      </c>
      <c r="H980" s="37">
        <f t="shared" si="328"/>
        <v>100</v>
      </c>
    </row>
    <row r="981" spans="1:8" x14ac:dyDescent="0.2">
      <c r="A981" s="68" t="s">
        <v>81</v>
      </c>
      <c r="B981" s="29" t="s">
        <v>769</v>
      </c>
      <c r="C981" s="29" t="s">
        <v>78</v>
      </c>
      <c r="D981" s="29" t="s">
        <v>474</v>
      </c>
      <c r="E981" s="29" t="s">
        <v>82</v>
      </c>
      <c r="F981" s="37">
        <v>90.308750000000003</v>
      </c>
      <c r="G981" s="37">
        <v>90.308750000000003</v>
      </c>
      <c r="H981" s="37">
        <f t="shared" si="328"/>
        <v>100</v>
      </c>
    </row>
    <row r="982" spans="1:8" x14ac:dyDescent="0.2">
      <c r="A982" s="65" t="s">
        <v>358</v>
      </c>
      <c r="B982" s="22" t="s">
        <v>769</v>
      </c>
      <c r="C982" s="22" t="s">
        <v>416</v>
      </c>
      <c r="D982" s="22"/>
      <c r="E982" s="22"/>
      <c r="F982" s="38">
        <f t="shared" ref="F982:G984" si="343">F983</f>
        <v>830.69176000000004</v>
      </c>
      <c r="G982" s="38">
        <f t="shared" si="343"/>
        <v>817.60478999999998</v>
      </c>
      <c r="H982" s="38">
        <f t="shared" si="328"/>
        <v>98.424569662277605</v>
      </c>
    </row>
    <row r="983" spans="1:8" x14ac:dyDescent="0.2">
      <c r="A983" s="65" t="s">
        <v>363</v>
      </c>
      <c r="B983" s="22" t="s">
        <v>769</v>
      </c>
      <c r="C983" s="22" t="s">
        <v>416</v>
      </c>
      <c r="D983" s="22" t="s">
        <v>416</v>
      </c>
      <c r="E983" s="22"/>
      <c r="F983" s="38">
        <f t="shared" si="343"/>
        <v>830.69176000000004</v>
      </c>
      <c r="G983" s="38">
        <f t="shared" si="343"/>
        <v>817.60478999999998</v>
      </c>
      <c r="H983" s="38">
        <f t="shared" si="328"/>
        <v>98.424569662277605</v>
      </c>
    </row>
    <row r="984" spans="1:8" ht="36" x14ac:dyDescent="0.2">
      <c r="A984" s="68" t="s">
        <v>79</v>
      </c>
      <c r="B984" s="29" t="s">
        <v>769</v>
      </c>
      <c r="C984" s="29" t="s">
        <v>416</v>
      </c>
      <c r="D984" s="29" t="s">
        <v>416</v>
      </c>
      <c r="E984" s="29" t="s">
        <v>80</v>
      </c>
      <c r="F984" s="37">
        <f t="shared" si="343"/>
        <v>830.69176000000004</v>
      </c>
      <c r="G984" s="37">
        <f t="shared" si="343"/>
        <v>817.60478999999998</v>
      </c>
      <c r="H984" s="37">
        <f t="shared" si="328"/>
        <v>98.424569662277605</v>
      </c>
    </row>
    <row r="985" spans="1:8" x14ac:dyDescent="0.2">
      <c r="A985" s="68" t="s">
        <v>81</v>
      </c>
      <c r="B985" s="29" t="s">
        <v>769</v>
      </c>
      <c r="C985" s="29" t="s">
        <v>416</v>
      </c>
      <c r="D985" s="29" t="s">
        <v>416</v>
      </c>
      <c r="E985" s="29" t="s">
        <v>82</v>
      </c>
      <c r="F985" s="37">
        <v>830.69176000000004</v>
      </c>
      <c r="G985" s="37">
        <v>817.60478999999998</v>
      </c>
      <c r="H985" s="37">
        <f t="shared" si="328"/>
        <v>98.424569662277605</v>
      </c>
    </row>
    <row r="986" spans="1:8" x14ac:dyDescent="0.2">
      <c r="A986" s="49" t="s">
        <v>364</v>
      </c>
      <c r="B986" s="22" t="s">
        <v>769</v>
      </c>
      <c r="C986" s="22" t="s">
        <v>476</v>
      </c>
      <c r="D986" s="22"/>
      <c r="E986" s="22"/>
      <c r="F986" s="38">
        <f t="shared" ref="F986:G988" si="344">F987</f>
        <v>309.18230999999997</v>
      </c>
      <c r="G986" s="38">
        <f t="shared" si="344"/>
        <v>309.18230999999997</v>
      </c>
      <c r="H986" s="38">
        <f t="shared" si="328"/>
        <v>100</v>
      </c>
    </row>
    <row r="987" spans="1:8" x14ac:dyDescent="0.2">
      <c r="A987" s="65" t="s">
        <v>368</v>
      </c>
      <c r="B987" s="22" t="s">
        <v>769</v>
      </c>
      <c r="C987" s="22" t="s">
        <v>476</v>
      </c>
      <c r="D987" s="22" t="s">
        <v>470</v>
      </c>
      <c r="E987" s="22"/>
      <c r="F987" s="38">
        <f t="shared" si="344"/>
        <v>309.18230999999997</v>
      </c>
      <c r="G987" s="38">
        <f t="shared" si="344"/>
        <v>309.18230999999997</v>
      </c>
      <c r="H987" s="38">
        <f t="shared" si="328"/>
        <v>100</v>
      </c>
    </row>
    <row r="988" spans="1:8" ht="36" x14ac:dyDescent="0.2">
      <c r="A988" s="68" t="s">
        <v>79</v>
      </c>
      <c r="B988" s="29" t="s">
        <v>769</v>
      </c>
      <c r="C988" s="29" t="s">
        <v>476</v>
      </c>
      <c r="D988" s="29" t="s">
        <v>470</v>
      </c>
      <c r="E988" s="29" t="s">
        <v>80</v>
      </c>
      <c r="F988" s="37">
        <f t="shared" si="344"/>
        <v>309.18230999999997</v>
      </c>
      <c r="G988" s="37">
        <f t="shared" si="344"/>
        <v>309.18230999999997</v>
      </c>
      <c r="H988" s="37">
        <f t="shared" si="328"/>
        <v>100</v>
      </c>
    </row>
    <row r="989" spans="1:8" x14ac:dyDescent="0.2">
      <c r="A989" s="68" t="s">
        <v>81</v>
      </c>
      <c r="B989" s="29" t="s">
        <v>769</v>
      </c>
      <c r="C989" s="29" t="s">
        <v>476</v>
      </c>
      <c r="D989" s="29" t="s">
        <v>470</v>
      </c>
      <c r="E989" s="29" t="s">
        <v>82</v>
      </c>
      <c r="F989" s="37">
        <v>309.18230999999997</v>
      </c>
      <c r="G989" s="37">
        <v>309.18230999999997</v>
      </c>
      <c r="H989" s="37">
        <f t="shared" si="328"/>
        <v>100</v>
      </c>
    </row>
    <row r="990" spans="1:8" x14ac:dyDescent="0.2">
      <c r="A990" s="49" t="s">
        <v>379</v>
      </c>
      <c r="B990" s="22" t="s">
        <v>769</v>
      </c>
      <c r="C990" s="22" t="s">
        <v>474</v>
      </c>
      <c r="D990" s="22"/>
      <c r="E990" s="29"/>
      <c r="F990" s="38">
        <f t="shared" ref="F990:G992" si="345">F991</f>
        <v>162.38023000000001</v>
      </c>
      <c r="G990" s="38">
        <f t="shared" si="345"/>
        <v>162.38023000000001</v>
      </c>
      <c r="H990" s="38">
        <f t="shared" ref="H990:H997" si="346">G990/F990*100</f>
        <v>100</v>
      </c>
    </row>
    <row r="991" spans="1:8" x14ac:dyDescent="0.2">
      <c r="A991" s="49" t="s">
        <v>453</v>
      </c>
      <c r="B991" s="22" t="s">
        <v>769</v>
      </c>
      <c r="C991" s="22" t="s">
        <v>474</v>
      </c>
      <c r="D991" s="22" t="s">
        <v>78</v>
      </c>
      <c r="E991" s="22"/>
      <c r="F991" s="38">
        <f t="shared" si="345"/>
        <v>162.38023000000001</v>
      </c>
      <c r="G991" s="38">
        <f t="shared" si="345"/>
        <v>162.38023000000001</v>
      </c>
      <c r="H991" s="38">
        <f t="shared" si="346"/>
        <v>100</v>
      </c>
    </row>
    <row r="992" spans="1:8" ht="36" x14ac:dyDescent="0.2">
      <c r="A992" s="68" t="s">
        <v>79</v>
      </c>
      <c r="B992" s="29" t="s">
        <v>769</v>
      </c>
      <c r="C992" s="29" t="s">
        <v>474</v>
      </c>
      <c r="D992" s="29" t="s">
        <v>78</v>
      </c>
      <c r="E992" s="29" t="s">
        <v>80</v>
      </c>
      <c r="F992" s="37">
        <f t="shared" si="345"/>
        <v>162.38023000000001</v>
      </c>
      <c r="G992" s="37">
        <f t="shared" si="345"/>
        <v>162.38023000000001</v>
      </c>
      <c r="H992" s="37">
        <f t="shared" si="346"/>
        <v>100</v>
      </c>
    </row>
    <row r="993" spans="1:8" x14ac:dyDescent="0.2">
      <c r="A993" s="68" t="s">
        <v>81</v>
      </c>
      <c r="B993" s="29" t="s">
        <v>769</v>
      </c>
      <c r="C993" s="29" t="s">
        <v>474</v>
      </c>
      <c r="D993" s="29" t="s">
        <v>78</v>
      </c>
      <c r="E993" s="29" t="s">
        <v>82</v>
      </c>
      <c r="F993" s="37">
        <v>162.38023000000001</v>
      </c>
      <c r="G993" s="37">
        <v>162.38023000000001</v>
      </c>
      <c r="H993" s="37">
        <f t="shared" si="346"/>
        <v>100</v>
      </c>
    </row>
    <row r="994" spans="1:8" x14ac:dyDescent="0.2">
      <c r="A994" s="65" t="s">
        <v>381</v>
      </c>
      <c r="B994" s="22" t="s">
        <v>769</v>
      </c>
      <c r="C994" s="22" t="s">
        <v>90</v>
      </c>
      <c r="D994" s="22"/>
      <c r="E994" s="29"/>
      <c r="F994" s="38">
        <f t="shared" ref="F994:G996" si="347">F995</f>
        <v>83.870570000000001</v>
      </c>
      <c r="G994" s="38">
        <f t="shared" si="347"/>
        <v>83.870570000000001</v>
      </c>
      <c r="H994" s="38">
        <f t="shared" si="346"/>
        <v>100</v>
      </c>
    </row>
    <row r="995" spans="1:8" x14ac:dyDescent="0.2">
      <c r="A995" s="67" t="s">
        <v>183</v>
      </c>
      <c r="B995" s="22" t="s">
        <v>769</v>
      </c>
      <c r="C995" s="22" t="s">
        <v>90</v>
      </c>
      <c r="D995" s="22" t="s">
        <v>416</v>
      </c>
      <c r="E995" s="22"/>
      <c r="F995" s="38">
        <f t="shared" si="347"/>
        <v>83.870570000000001</v>
      </c>
      <c r="G995" s="38">
        <f t="shared" si="347"/>
        <v>83.870570000000001</v>
      </c>
      <c r="H995" s="38">
        <f t="shared" si="346"/>
        <v>100</v>
      </c>
    </row>
    <row r="996" spans="1:8" ht="36" x14ac:dyDescent="0.2">
      <c r="A996" s="68" t="s">
        <v>79</v>
      </c>
      <c r="B996" s="29" t="s">
        <v>769</v>
      </c>
      <c r="C996" s="29" t="s">
        <v>90</v>
      </c>
      <c r="D996" s="29" t="s">
        <v>416</v>
      </c>
      <c r="E996" s="29" t="s">
        <v>80</v>
      </c>
      <c r="F996" s="37">
        <f t="shared" si="347"/>
        <v>83.870570000000001</v>
      </c>
      <c r="G996" s="37">
        <f t="shared" si="347"/>
        <v>83.870570000000001</v>
      </c>
      <c r="H996" s="37">
        <f t="shared" si="346"/>
        <v>100</v>
      </c>
    </row>
    <row r="997" spans="1:8" x14ac:dyDescent="0.2">
      <c r="A997" s="68" t="s">
        <v>81</v>
      </c>
      <c r="B997" s="29" t="s">
        <v>769</v>
      </c>
      <c r="C997" s="29" t="s">
        <v>90</v>
      </c>
      <c r="D997" s="29" t="s">
        <v>416</v>
      </c>
      <c r="E997" s="29" t="s">
        <v>82</v>
      </c>
      <c r="F997" s="37">
        <v>83.870570000000001</v>
      </c>
      <c r="G997" s="37">
        <v>83.870570000000001</v>
      </c>
      <c r="H997" s="37">
        <f t="shared" si="346"/>
        <v>100</v>
      </c>
    </row>
    <row r="998" spans="1:8" x14ac:dyDescent="0.2">
      <c r="A998" s="330"/>
      <c r="B998" s="85"/>
      <c r="C998" s="85"/>
      <c r="D998" s="85"/>
      <c r="E998" s="85"/>
      <c r="F998" s="331"/>
      <c r="G998" s="331"/>
      <c r="H998" s="331"/>
    </row>
    <row r="999" spans="1:8" x14ac:dyDescent="0.2">
      <c r="A999" s="330"/>
      <c r="B999" s="85"/>
      <c r="C999" s="85"/>
      <c r="D999" s="85"/>
      <c r="E999" s="85"/>
      <c r="F999" s="331"/>
      <c r="G999" s="331"/>
      <c r="H999" s="331"/>
    </row>
    <row r="1000" spans="1:8" ht="15.75" x14ac:dyDescent="0.2">
      <c r="A1000" s="101" t="s">
        <v>967</v>
      </c>
      <c r="B1000" s="85"/>
      <c r="C1000" s="85"/>
      <c r="D1000" s="85"/>
      <c r="E1000" s="85"/>
    </row>
    <row r="1001" spans="1:8" x14ac:dyDescent="0.2">
      <c r="C1001" s="14"/>
      <c r="D1001" s="14"/>
      <c r="E1001" s="14"/>
    </row>
    <row r="1002" spans="1:8" x14ac:dyDescent="0.2">
      <c r="C1002" s="14"/>
      <c r="D1002" s="14"/>
      <c r="E1002" s="14"/>
    </row>
    <row r="1003" spans="1:8" x14ac:dyDescent="0.2">
      <c r="C1003" s="14"/>
      <c r="D1003" s="14"/>
      <c r="E1003" s="14"/>
    </row>
    <row r="1004" spans="1:8" x14ac:dyDescent="0.2">
      <c r="C1004" s="14"/>
      <c r="D1004" s="14"/>
      <c r="E1004" s="14"/>
    </row>
    <row r="1005" spans="1:8" x14ac:dyDescent="0.2">
      <c r="C1005" s="14"/>
      <c r="D1005" s="14"/>
      <c r="E1005" s="14"/>
    </row>
    <row r="1006" spans="1:8" x14ac:dyDescent="0.2">
      <c r="C1006" s="14"/>
      <c r="D1006" s="14"/>
      <c r="E1006" s="14"/>
    </row>
    <row r="1007" spans="1:8" x14ac:dyDescent="0.2">
      <c r="C1007" s="14"/>
      <c r="D1007" s="14"/>
      <c r="E1007" s="14"/>
    </row>
    <row r="1008" spans="1:8" x14ac:dyDescent="0.2">
      <c r="C1008" s="14"/>
      <c r="D1008" s="14"/>
      <c r="E1008" s="14"/>
    </row>
    <row r="1009" spans="3:5" x14ac:dyDescent="0.2">
      <c r="C1009" s="14"/>
      <c r="D1009" s="14"/>
      <c r="E1009" s="14"/>
    </row>
    <row r="1010" spans="3:5" x14ac:dyDescent="0.2">
      <c r="C1010" s="14"/>
      <c r="D1010" s="14"/>
      <c r="E1010" s="14"/>
    </row>
    <row r="1011" spans="3:5" x14ac:dyDescent="0.2">
      <c r="C1011" s="14"/>
      <c r="D1011" s="14"/>
      <c r="E1011" s="14"/>
    </row>
    <row r="1012" spans="3:5" x14ac:dyDescent="0.2">
      <c r="C1012" s="14"/>
      <c r="D1012" s="14"/>
      <c r="E1012" s="14"/>
    </row>
    <row r="1013" spans="3:5" x14ac:dyDescent="0.2">
      <c r="C1013" s="14"/>
      <c r="D1013" s="14"/>
      <c r="E1013" s="14"/>
    </row>
    <row r="1014" spans="3:5" x14ac:dyDescent="0.2">
      <c r="C1014" s="14"/>
      <c r="D1014" s="14"/>
      <c r="E1014" s="14"/>
    </row>
    <row r="1015" spans="3:5" x14ac:dyDescent="0.2">
      <c r="C1015" s="14"/>
      <c r="D1015" s="14"/>
      <c r="E1015" s="14"/>
    </row>
    <row r="1016" spans="3:5" x14ac:dyDescent="0.2">
      <c r="C1016" s="14"/>
      <c r="D1016" s="14"/>
      <c r="E1016" s="14"/>
    </row>
    <row r="1017" spans="3:5" x14ac:dyDescent="0.2">
      <c r="C1017" s="14"/>
      <c r="D1017" s="14"/>
      <c r="E1017" s="14"/>
    </row>
    <row r="1018" spans="3:5" x14ac:dyDescent="0.2">
      <c r="C1018" s="14"/>
      <c r="D1018" s="14"/>
      <c r="E1018" s="14"/>
    </row>
    <row r="1019" spans="3:5" x14ac:dyDescent="0.2">
      <c r="C1019" s="14"/>
      <c r="D1019" s="14"/>
      <c r="E1019" s="14"/>
    </row>
    <row r="1020" spans="3:5" x14ac:dyDescent="0.2">
      <c r="C1020" s="14"/>
      <c r="D1020" s="14"/>
      <c r="E1020" s="14"/>
    </row>
    <row r="1021" spans="3:5" x14ac:dyDescent="0.2">
      <c r="C1021" s="14"/>
      <c r="D1021" s="14"/>
      <c r="E1021" s="14"/>
    </row>
    <row r="1022" spans="3:5" x14ac:dyDescent="0.2">
      <c r="C1022" s="14"/>
      <c r="D1022" s="14"/>
      <c r="E1022" s="14"/>
    </row>
    <row r="1023" spans="3:5" x14ac:dyDescent="0.2">
      <c r="C1023" s="14"/>
      <c r="D1023" s="14"/>
      <c r="E1023" s="14"/>
    </row>
    <row r="1024" spans="3:5" x14ac:dyDescent="0.2">
      <c r="C1024" s="14"/>
      <c r="D1024" s="14"/>
      <c r="E1024" s="14"/>
    </row>
    <row r="1025" spans="3:5" x14ac:dyDescent="0.2">
      <c r="C1025" s="14"/>
      <c r="D1025" s="14"/>
      <c r="E1025" s="14"/>
    </row>
    <row r="1026" spans="3:5" x14ac:dyDescent="0.2">
      <c r="C1026" s="14"/>
      <c r="D1026" s="14"/>
      <c r="E1026" s="14"/>
    </row>
    <row r="1027" spans="3:5" x14ac:dyDescent="0.2">
      <c r="C1027" s="14"/>
      <c r="D1027" s="14"/>
      <c r="E1027" s="14"/>
    </row>
    <row r="1028" spans="3:5" x14ac:dyDescent="0.2">
      <c r="C1028" s="14"/>
      <c r="D1028" s="14"/>
      <c r="E1028" s="14"/>
    </row>
    <row r="1029" spans="3:5" x14ac:dyDescent="0.2">
      <c r="C1029" s="14"/>
      <c r="D1029" s="14"/>
      <c r="E1029" s="14"/>
    </row>
    <row r="1030" spans="3:5" x14ac:dyDescent="0.2">
      <c r="C1030" s="14"/>
      <c r="D1030" s="14"/>
      <c r="E1030" s="14"/>
    </row>
    <row r="1031" spans="3:5" x14ac:dyDescent="0.2">
      <c r="C1031" s="14"/>
      <c r="D1031" s="14"/>
      <c r="E1031" s="14"/>
    </row>
    <row r="1032" spans="3:5" x14ac:dyDescent="0.2">
      <c r="C1032" s="14"/>
      <c r="D1032" s="14"/>
      <c r="E1032" s="14"/>
    </row>
    <row r="1033" spans="3:5" x14ac:dyDescent="0.2">
      <c r="C1033" s="14"/>
      <c r="D1033" s="14"/>
      <c r="E1033" s="14"/>
    </row>
    <row r="1034" spans="3:5" x14ac:dyDescent="0.2">
      <c r="C1034" s="14"/>
      <c r="D1034" s="14"/>
      <c r="E1034" s="14"/>
    </row>
    <row r="1035" spans="3:5" x14ac:dyDescent="0.2">
      <c r="C1035" s="14"/>
      <c r="D1035" s="14"/>
      <c r="E1035" s="14"/>
    </row>
    <row r="1036" spans="3:5" x14ac:dyDescent="0.2">
      <c r="C1036" s="14"/>
      <c r="D1036" s="14"/>
      <c r="E1036" s="14"/>
    </row>
    <row r="1037" spans="3:5" x14ac:dyDescent="0.2">
      <c r="C1037" s="14"/>
      <c r="D1037" s="14"/>
      <c r="E1037" s="14"/>
    </row>
    <row r="1038" spans="3:5" x14ac:dyDescent="0.2">
      <c r="C1038" s="14"/>
      <c r="D1038" s="14"/>
      <c r="E1038" s="14"/>
    </row>
    <row r="1039" spans="3:5" x14ac:dyDescent="0.2">
      <c r="C1039" s="14"/>
      <c r="D1039" s="14"/>
      <c r="E1039" s="14"/>
    </row>
    <row r="1040" spans="3:5" x14ac:dyDescent="0.2">
      <c r="C1040" s="14"/>
      <c r="D1040" s="14"/>
      <c r="E1040" s="14"/>
    </row>
    <row r="1041" spans="3:5" x14ac:dyDescent="0.2">
      <c r="C1041" s="14"/>
      <c r="D1041" s="14"/>
      <c r="E1041" s="14"/>
    </row>
    <row r="1042" spans="3:5" x14ac:dyDescent="0.2">
      <c r="C1042" s="14"/>
      <c r="D1042" s="14"/>
      <c r="E1042" s="14"/>
    </row>
    <row r="1043" spans="3:5" x14ac:dyDescent="0.2">
      <c r="C1043" s="14"/>
      <c r="D1043" s="14"/>
      <c r="E1043" s="14"/>
    </row>
    <row r="1044" spans="3:5" x14ac:dyDescent="0.2">
      <c r="C1044" s="14"/>
      <c r="D1044" s="14"/>
      <c r="E1044" s="14"/>
    </row>
    <row r="1045" spans="3:5" x14ac:dyDescent="0.2">
      <c r="C1045" s="14"/>
      <c r="D1045" s="14"/>
      <c r="E1045" s="14"/>
    </row>
    <row r="1046" spans="3:5" x14ac:dyDescent="0.2">
      <c r="C1046" s="14"/>
      <c r="D1046" s="14"/>
      <c r="E1046" s="14"/>
    </row>
    <row r="1047" spans="3:5" x14ac:dyDescent="0.2">
      <c r="C1047" s="14"/>
      <c r="D1047" s="14"/>
      <c r="E1047" s="14"/>
    </row>
    <row r="1048" spans="3:5" x14ac:dyDescent="0.2">
      <c r="C1048" s="14"/>
      <c r="D1048" s="14"/>
      <c r="E1048" s="14"/>
    </row>
    <row r="1049" spans="3:5" x14ac:dyDescent="0.2">
      <c r="C1049" s="14"/>
      <c r="D1049" s="14"/>
      <c r="E1049" s="14"/>
    </row>
    <row r="1050" spans="3:5" x14ac:dyDescent="0.2">
      <c r="C1050" s="14"/>
      <c r="D1050" s="14"/>
      <c r="E1050" s="14"/>
    </row>
    <row r="1051" spans="3:5" x14ac:dyDescent="0.2">
      <c r="C1051" s="14"/>
      <c r="D1051" s="14"/>
      <c r="E1051" s="14"/>
    </row>
    <row r="1052" spans="3:5" x14ac:dyDescent="0.2">
      <c r="C1052" s="14"/>
      <c r="D1052" s="14"/>
      <c r="E1052" s="14"/>
    </row>
    <row r="1053" spans="3:5" x14ac:dyDescent="0.2">
      <c r="C1053" s="14"/>
      <c r="D1053" s="14"/>
      <c r="E1053" s="14"/>
    </row>
    <row r="1054" spans="3:5" x14ac:dyDescent="0.2">
      <c r="C1054" s="14"/>
      <c r="D1054" s="14"/>
      <c r="E1054" s="14"/>
    </row>
    <row r="1055" spans="3:5" x14ac:dyDescent="0.2">
      <c r="C1055" s="14"/>
      <c r="D1055" s="14"/>
      <c r="E1055" s="14"/>
    </row>
    <row r="1056" spans="3:5" x14ac:dyDescent="0.2">
      <c r="C1056" s="14"/>
      <c r="D1056" s="14"/>
      <c r="E1056" s="14"/>
    </row>
    <row r="1057" spans="3:5" x14ac:dyDescent="0.2">
      <c r="C1057" s="14"/>
      <c r="D1057" s="14"/>
      <c r="E1057" s="14"/>
    </row>
    <row r="1058" spans="3:5" x14ac:dyDescent="0.2">
      <c r="C1058" s="14"/>
      <c r="D1058" s="14"/>
      <c r="E1058" s="14"/>
    </row>
  </sheetData>
  <autoFilter ref="A9:F964"/>
  <mergeCells count="5">
    <mergeCell ref="A8:H8"/>
    <mergeCell ref="A1:H1"/>
    <mergeCell ref="A2:H2"/>
    <mergeCell ref="A5:H6"/>
    <mergeCell ref="A7:H7"/>
  </mergeCells>
  <phoneticPr fontId="2" type="noConversion"/>
  <pageMargins left="0.59055118110236227" right="0.39370078740157483" top="0.39370078740157483" bottom="0.39370078740157483" header="0" footer="0"/>
  <pageSetup paperSize="9" scale="61" orientation="portrait" useFirstPageNumber="1" r:id="rId1"/>
  <headerFooter alignWithMargins="0">
    <oddFooter>&amp;C&amp;P</oddFooter>
  </headerFooter>
  <rowBreaks count="3" manualBreakCount="3">
    <brk id="665" max="7" man="1"/>
    <brk id="728" max="7" man="1"/>
    <brk id="796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</sheetPr>
  <dimension ref="A1:M43"/>
  <sheetViews>
    <sheetView view="pageBreakPreview" zoomScale="120" zoomScaleNormal="120" zoomScaleSheetLayoutView="120" workbookViewId="0">
      <selection activeCell="A33" sqref="A33:E33"/>
    </sheetView>
  </sheetViews>
  <sheetFormatPr defaultRowHeight="12.75" x14ac:dyDescent="0.2"/>
  <cols>
    <col min="1" max="1" width="30.42578125" customWidth="1"/>
    <col min="2" max="2" width="52.7109375" customWidth="1"/>
    <col min="3" max="3" width="12.42578125" customWidth="1"/>
    <col min="4" max="4" width="19.42578125" customWidth="1"/>
    <col min="5" max="5" width="19.28515625" customWidth="1"/>
    <col min="257" max="257" width="30.42578125" customWidth="1"/>
    <col min="258" max="258" width="52.7109375" customWidth="1"/>
    <col min="259" max="259" width="12.42578125" customWidth="1"/>
    <col min="260" max="260" width="15.42578125" customWidth="1"/>
    <col min="261" max="261" width="14.140625" customWidth="1"/>
    <col min="513" max="513" width="30.42578125" customWidth="1"/>
    <col min="514" max="514" width="52.7109375" customWidth="1"/>
    <col min="515" max="515" width="12.42578125" customWidth="1"/>
    <col min="516" max="516" width="15.42578125" customWidth="1"/>
    <col min="517" max="517" width="14.140625" customWidth="1"/>
    <col min="769" max="769" width="30.42578125" customWidth="1"/>
    <col min="770" max="770" width="52.7109375" customWidth="1"/>
    <col min="771" max="771" width="12.42578125" customWidth="1"/>
    <col min="772" max="772" width="15.42578125" customWidth="1"/>
    <col min="773" max="773" width="14.140625" customWidth="1"/>
    <col min="1025" max="1025" width="30.42578125" customWidth="1"/>
    <col min="1026" max="1026" width="52.7109375" customWidth="1"/>
    <col min="1027" max="1027" width="12.42578125" customWidth="1"/>
    <col min="1028" max="1028" width="15.42578125" customWidth="1"/>
    <col min="1029" max="1029" width="14.140625" customWidth="1"/>
    <col min="1281" max="1281" width="30.42578125" customWidth="1"/>
    <col min="1282" max="1282" width="52.7109375" customWidth="1"/>
    <col min="1283" max="1283" width="12.42578125" customWidth="1"/>
    <col min="1284" max="1284" width="15.42578125" customWidth="1"/>
    <col min="1285" max="1285" width="14.140625" customWidth="1"/>
    <col min="1537" max="1537" width="30.42578125" customWidth="1"/>
    <col min="1538" max="1538" width="52.7109375" customWidth="1"/>
    <col min="1539" max="1539" width="12.42578125" customWidth="1"/>
    <col min="1540" max="1540" width="15.42578125" customWidth="1"/>
    <col min="1541" max="1541" width="14.140625" customWidth="1"/>
    <col min="1793" max="1793" width="30.42578125" customWidth="1"/>
    <col min="1794" max="1794" width="52.7109375" customWidth="1"/>
    <col min="1795" max="1795" width="12.42578125" customWidth="1"/>
    <col min="1796" max="1796" width="15.42578125" customWidth="1"/>
    <col min="1797" max="1797" width="14.140625" customWidth="1"/>
    <col min="2049" max="2049" width="30.42578125" customWidth="1"/>
    <col min="2050" max="2050" width="52.7109375" customWidth="1"/>
    <col min="2051" max="2051" width="12.42578125" customWidth="1"/>
    <col min="2052" max="2052" width="15.42578125" customWidth="1"/>
    <col min="2053" max="2053" width="14.140625" customWidth="1"/>
    <col min="2305" max="2305" width="30.42578125" customWidth="1"/>
    <col min="2306" max="2306" width="52.7109375" customWidth="1"/>
    <col min="2307" max="2307" width="12.42578125" customWidth="1"/>
    <col min="2308" max="2308" width="15.42578125" customWidth="1"/>
    <col min="2309" max="2309" width="14.140625" customWidth="1"/>
    <col min="2561" max="2561" width="30.42578125" customWidth="1"/>
    <col min="2562" max="2562" width="52.7109375" customWidth="1"/>
    <col min="2563" max="2563" width="12.42578125" customWidth="1"/>
    <col min="2564" max="2564" width="15.42578125" customWidth="1"/>
    <col min="2565" max="2565" width="14.140625" customWidth="1"/>
    <col min="2817" max="2817" width="30.42578125" customWidth="1"/>
    <col min="2818" max="2818" width="52.7109375" customWidth="1"/>
    <col min="2819" max="2819" width="12.42578125" customWidth="1"/>
    <col min="2820" max="2820" width="15.42578125" customWidth="1"/>
    <col min="2821" max="2821" width="14.140625" customWidth="1"/>
    <col min="3073" max="3073" width="30.42578125" customWidth="1"/>
    <col min="3074" max="3074" width="52.7109375" customWidth="1"/>
    <col min="3075" max="3075" width="12.42578125" customWidth="1"/>
    <col min="3076" max="3076" width="15.42578125" customWidth="1"/>
    <col min="3077" max="3077" width="14.140625" customWidth="1"/>
    <col min="3329" max="3329" width="30.42578125" customWidth="1"/>
    <col min="3330" max="3330" width="52.7109375" customWidth="1"/>
    <col min="3331" max="3331" width="12.42578125" customWidth="1"/>
    <col min="3332" max="3332" width="15.42578125" customWidth="1"/>
    <col min="3333" max="3333" width="14.140625" customWidth="1"/>
    <col min="3585" max="3585" width="30.42578125" customWidth="1"/>
    <col min="3586" max="3586" width="52.7109375" customWidth="1"/>
    <col min="3587" max="3587" width="12.42578125" customWidth="1"/>
    <col min="3588" max="3588" width="15.42578125" customWidth="1"/>
    <col min="3589" max="3589" width="14.140625" customWidth="1"/>
    <col min="3841" max="3841" width="30.42578125" customWidth="1"/>
    <col min="3842" max="3842" width="52.7109375" customWidth="1"/>
    <col min="3843" max="3843" width="12.42578125" customWidth="1"/>
    <col min="3844" max="3844" width="15.42578125" customWidth="1"/>
    <col min="3845" max="3845" width="14.140625" customWidth="1"/>
    <col min="4097" max="4097" width="30.42578125" customWidth="1"/>
    <col min="4098" max="4098" width="52.7109375" customWidth="1"/>
    <col min="4099" max="4099" width="12.42578125" customWidth="1"/>
    <col min="4100" max="4100" width="15.42578125" customWidth="1"/>
    <col min="4101" max="4101" width="14.140625" customWidth="1"/>
    <col min="4353" max="4353" width="30.42578125" customWidth="1"/>
    <col min="4354" max="4354" width="52.7109375" customWidth="1"/>
    <col min="4355" max="4355" width="12.42578125" customWidth="1"/>
    <col min="4356" max="4356" width="15.42578125" customWidth="1"/>
    <col min="4357" max="4357" width="14.140625" customWidth="1"/>
    <col min="4609" max="4609" width="30.42578125" customWidth="1"/>
    <col min="4610" max="4610" width="52.7109375" customWidth="1"/>
    <col min="4611" max="4611" width="12.42578125" customWidth="1"/>
    <col min="4612" max="4612" width="15.42578125" customWidth="1"/>
    <col min="4613" max="4613" width="14.140625" customWidth="1"/>
    <col min="4865" max="4865" width="30.42578125" customWidth="1"/>
    <col min="4866" max="4866" width="52.7109375" customWidth="1"/>
    <col min="4867" max="4867" width="12.42578125" customWidth="1"/>
    <col min="4868" max="4868" width="15.42578125" customWidth="1"/>
    <col min="4869" max="4869" width="14.140625" customWidth="1"/>
    <col min="5121" max="5121" width="30.42578125" customWidth="1"/>
    <col min="5122" max="5122" width="52.7109375" customWidth="1"/>
    <col min="5123" max="5123" width="12.42578125" customWidth="1"/>
    <col min="5124" max="5124" width="15.42578125" customWidth="1"/>
    <col min="5125" max="5125" width="14.140625" customWidth="1"/>
    <col min="5377" max="5377" width="30.42578125" customWidth="1"/>
    <col min="5378" max="5378" width="52.7109375" customWidth="1"/>
    <col min="5379" max="5379" width="12.42578125" customWidth="1"/>
    <col min="5380" max="5380" width="15.42578125" customWidth="1"/>
    <col min="5381" max="5381" width="14.140625" customWidth="1"/>
    <col min="5633" max="5633" width="30.42578125" customWidth="1"/>
    <col min="5634" max="5634" width="52.7109375" customWidth="1"/>
    <col min="5635" max="5635" width="12.42578125" customWidth="1"/>
    <col min="5636" max="5636" width="15.42578125" customWidth="1"/>
    <col min="5637" max="5637" width="14.140625" customWidth="1"/>
    <col min="5889" max="5889" width="30.42578125" customWidth="1"/>
    <col min="5890" max="5890" width="52.7109375" customWidth="1"/>
    <col min="5891" max="5891" width="12.42578125" customWidth="1"/>
    <col min="5892" max="5892" width="15.42578125" customWidth="1"/>
    <col min="5893" max="5893" width="14.140625" customWidth="1"/>
    <col min="6145" max="6145" width="30.42578125" customWidth="1"/>
    <col min="6146" max="6146" width="52.7109375" customWidth="1"/>
    <col min="6147" max="6147" width="12.42578125" customWidth="1"/>
    <col min="6148" max="6148" width="15.42578125" customWidth="1"/>
    <col min="6149" max="6149" width="14.140625" customWidth="1"/>
    <col min="6401" max="6401" width="30.42578125" customWidth="1"/>
    <col min="6402" max="6402" width="52.7109375" customWidth="1"/>
    <col min="6403" max="6403" width="12.42578125" customWidth="1"/>
    <col min="6404" max="6404" width="15.42578125" customWidth="1"/>
    <col min="6405" max="6405" width="14.140625" customWidth="1"/>
    <col min="6657" max="6657" width="30.42578125" customWidth="1"/>
    <col min="6658" max="6658" width="52.7109375" customWidth="1"/>
    <col min="6659" max="6659" width="12.42578125" customWidth="1"/>
    <col min="6660" max="6660" width="15.42578125" customWidth="1"/>
    <col min="6661" max="6661" width="14.140625" customWidth="1"/>
    <col min="6913" max="6913" width="30.42578125" customWidth="1"/>
    <col min="6914" max="6914" width="52.7109375" customWidth="1"/>
    <col min="6915" max="6915" width="12.42578125" customWidth="1"/>
    <col min="6916" max="6916" width="15.42578125" customWidth="1"/>
    <col min="6917" max="6917" width="14.140625" customWidth="1"/>
    <col min="7169" max="7169" width="30.42578125" customWidth="1"/>
    <col min="7170" max="7170" width="52.7109375" customWidth="1"/>
    <col min="7171" max="7171" width="12.42578125" customWidth="1"/>
    <col min="7172" max="7172" width="15.42578125" customWidth="1"/>
    <col min="7173" max="7173" width="14.140625" customWidth="1"/>
    <col min="7425" max="7425" width="30.42578125" customWidth="1"/>
    <col min="7426" max="7426" width="52.7109375" customWidth="1"/>
    <col min="7427" max="7427" width="12.42578125" customWidth="1"/>
    <col min="7428" max="7428" width="15.42578125" customWidth="1"/>
    <col min="7429" max="7429" width="14.140625" customWidth="1"/>
    <col min="7681" max="7681" width="30.42578125" customWidth="1"/>
    <col min="7682" max="7682" width="52.7109375" customWidth="1"/>
    <col min="7683" max="7683" width="12.42578125" customWidth="1"/>
    <col min="7684" max="7684" width="15.42578125" customWidth="1"/>
    <col min="7685" max="7685" width="14.140625" customWidth="1"/>
    <col min="7937" max="7937" width="30.42578125" customWidth="1"/>
    <col min="7938" max="7938" width="52.7109375" customWidth="1"/>
    <col min="7939" max="7939" width="12.42578125" customWidth="1"/>
    <col min="7940" max="7940" width="15.42578125" customWidth="1"/>
    <col min="7941" max="7941" width="14.140625" customWidth="1"/>
    <col min="8193" max="8193" width="30.42578125" customWidth="1"/>
    <col min="8194" max="8194" width="52.7109375" customWidth="1"/>
    <col min="8195" max="8195" width="12.42578125" customWidth="1"/>
    <col min="8196" max="8196" width="15.42578125" customWidth="1"/>
    <col min="8197" max="8197" width="14.140625" customWidth="1"/>
    <col min="8449" max="8449" width="30.42578125" customWidth="1"/>
    <col min="8450" max="8450" width="52.7109375" customWidth="1"/>
    <col min="8451" max="8451" width="12.42578125" customWidth="1"/>
    <col min="8452" max="8452" width="15.42578125" customWidth="1"/>
    <col min="8453" max="8453" width="14.140625" customWidth="1"/>
    <col min="8705" max="8705" width="30.42578125" customWidth="1"/>
    <col min="8706" max="8706" width="52.7109375" customWidth="1"/>
    <col min="8707" max="8707" width="12.42578125" customWidth="1"/>
    <col min="8708" max="8708" width="15.42578125" customWidth="1"/>
    <col min="8709" max="8709" width="14.140625" customWidth="1"/>
    <col min="8961" max="8961" width="30.42578125" customWidth="1"/>
    <col min="8962" max="8962" width="52.7109375" customWidth="1"/>
    <col min="8963" max="8963" width="12.42578125" customWidth="1"/>
    <col min="8964" max="8964" width="15.42578125" customWidth="1"/>
    <col min="8965" max="8965" width="14.140625" customWidth="1"/>
    <col min="9217" max="9217" width="30.42578125" customWidth="1"/>
    <col min="9218" max="9218" width="52.7109375" customWidth="1"/>
    <col min="9219" max="9219" width="12.42578125" customWidth="1"/>
    <col min="9220" max="9220" width="15.42578125" customWidth="1"/>
    <col min="9221" max="9221" width="14.140625" customWidth="1"/>
    <col min="9473" max="9473" width="30.42578125" customWidth="1"/>
    <col min="9474" max="9474" width="52.7109375" customWidth="1"/>
    <col min="9475" max="9475" width="12.42578125" customWidth="1"/>
    <col min="9476" max="9476" width="15.42578125" customWidth="1"/>
    <col min="9477" max="9477" width="14.140625" customWidth="1"/>
    <col min="9729" max="9729" width="30.42578125" customWidth="1"/>
    <col min="9730" max="9730" width="52.7109375" customWidth="1"/>
    <col min="9731" max="9731" width="12.42578125" customWidth="1"/>
    <col min="9732" max="9732" width="15.42578125" customWidth="1"/>
    <col min="9733" max="9733" width="14.140625" customWidth="1"/>
    <col min="9985" max="9985" width="30.42578125" customWidth="1"/>
    <col min="9986" max="9986" width="52.7109375" customWidth="1"/>
    <col min="9987" max="9987" width="12.42578125" customWidth="1"/>
    <col min="9988" max="9988" width="15.42578125" customWidth="1"/>
    <col min="9989" max="9989" width="14.140625" customWidth="1"/>
    <col min="10241" max="10241" width="30.42578125" customWidth="1"/>
    <col min="10242" max="10242" width="52.7109375" customWidth="1"/>
    <col min="10243" max="10243" width="12.42578125" customWidth="1"/>
    <col min="10244" max="10244" width="15.42578125" customWidth="1"/>
    <col min="10245" max="10245" width="14.140625" customWidth="1"/>
    <col min="10497" max="10497" width="30.42578125" customWidth="1"/>
    <col min="10498" max="10498" width="52.7109375" customWidth="1"/>
    <col min="10499" max="10499" width="12.42578125" customWidth="1"/>
    <col min="10500" max="10500" width="15.42578125" customWidth="1"/>
    <col min="10501" max="10501" width="14.140625" customWidth="1"/>
    <col min="10753" max="10753" width="30.42578125" customWidth="1"/>
    <col min="10754" max="10754" width="52.7109375" customWidth="1"/>
    <col min="10755" max="10755" width="12.42578125" customWidth="1"/>
    <col min="10756" max="10756" width="15.42578125" customWidth="1"/>
    <col min="10757" max="10757" width="14.140625" customWidth="1"/>
    <col min="11009" max="11009" width="30.42578125" customWidth="1"/>
    <col min="11010" max="11010" width="52.7109375" customWidth="1"/>
    <col min="11011" max="11011" width="12.42578125" customWidth="1"/>
    <col min="11012" max="11012" width="15.42578125" customWidth="1"/>
    <col min="11013" max="11013" width="14.140625" customWidth="1"/>
    <col min="11265" max="11265" width="30.42578125" customWidth="1"/>
    <col min="11266" max="11266" width="52.7109375" customWidth="1"/>
    <col min="11267" max="11267" width="12.42578125" customWidth="1"/>
    <col min="11268" max="11268" width="15.42578125" customWidth="1"/>
    <col min="11269" max="11269" width="14.140625" customWidth="1"/>
    <col min="11521" max="11521" width="30.42578125" customWidth="1"/>
    <col min="11522" max="11522" width="52.7109375" customWidth="1"/>
    <col min="11523" max="11523" width="12.42578125" customWidth="1"/>
    <col min="11524" max="11524" width="15.42578125" customWidth="1"/>
    <col min="11525" max="11525" width="14.140625" customWidth="1"/>
    <col min="11777" max="11777" width="30.42578125" customWidth="1"/>
    <col min="11778" max="11778" width="52.7109375" customWidth="1"/>
    <col min="11779" max="11779" width="12.42578125" customWidth="1"/>
    <col min="11780" max="11780" width="15.42578125" customWidth="1"/>
    <col min="11781" max="11781" width="14.140625" customWidth="1"/>
    <col min="12033" max="12033" width="30.42578125" customWidth="1"/>
    <col min="12034" max="12034" width="52.7109375" customWidth="1"/>
    <col min="12035" max="12035" width="12.42578125" customWidth="1"/>
    <col min="12036" max="12036" width="15.42578125" customWidth="1"/>
    <col min="12037" max="12037" width="14.140625" customWidth="1"/>
    <col min="12289" max="12289" width="30.42578125" customWidth="1"/>
    <col min="12290" max="12290" width="52.7109375" customWidth="1"/>
    <col min="12291" max="12291" width="12.42578125" customWidth="1"/>
    <col min="12292" max="12292" width="15.42578125" customWidth="1"/>
    <col min="12293" max="12293" width="14.140625" customWidth="1"/>
    <col min="12545" max="12545" width="30.42578125" customWidth="1"/>
    <col min="12546" max="12546" width="52.7109375" customWidth="1"/>
    <col min="12547" max="12547" width="12.42578125" customWidth="1"/>
    <col min="12548" max="12548" width="15.42578125" customWidth="1"/>
    <col min="12549" max="12549" width="14.140625" customWidth="1"/>
    <col min="12801" max="12801" width="30.42578125" customWidth="1"/>
    <col min="12802" max="12802" width="52.7109375" customWidth="1"/>
    <col min="12803" max="12803" width="12.42578125" customWidth="1"/>
    <col min="12804" max="12804" width="15.42578125" customWidth="1"/>
    <col min="12805" max="12805" width="14.140625" customWidth="1"/>
    <col min="13057" max="13057" width="30.42578125" customWidth="1"/>
    <col min="13058" max="13058" width="52.7109375" customWidth="1"/>
    <col min="13059" max="13059" width="12.42578125" customWidth="1"/>
    <col min="13060" max="13060" width="15.42578125" customWidth="1"/>
    <col min="13061" max="13061" width="14.140625" customWidth="1"/>
    <col min="13313" max="13313" width="30.42578125" customWidth="1"/>
    <col min="13314" max="13314" width="52.7109375" customWidth="1"/>
    <col min="13315" max="13315" width="12.42578125" customWidth="1"/>
    <col min="13316" max="13316" width="15.42578125" customWidth="1"/>
    <col min="13317" max="13317" width="14.140625" customWidth="1"/>
    <col min="13569" max="13569" width="30.42578125" customWidth="1"/>
    <col min="13570" max="13570" width="52.7109375" customWidth="1"/>
    <col min="13571" max="13571" width="12.42578125" customWidth="1"/>
    <col min="13572" max="13572" width="15.42578125" customWidth="1"/>
    <col min="13573" max="13573" width="14.140625" customWidth="1"/>
    <col min="13825" max="13825" width="30.42578125" customWidth="1"/>
    <col min="13826" max="13826" width="52.7109375" customWidth="1"/>
    <col min="13827" max="13827" width="12.42578125" customWidth="1"/>
    <col min="13828" max="13828" width="15.42578125" customWidth="1"/>
    <col min="13829" max="13829" width="14.140625" customWidth="1"/>
    <col min="14081" max="14081" width="30.42578125" customWidth="1"/>
    <col min="14082" max="14082" width="52.7109375" customWidth="1"/>
    <col min="14083" max="14083" width="12.42578125" customWidth="1"/>
    <col min="14084" max="14084" width="15.42578125" customWidth="1"/>
    <col min="14085" max="14085" width="14.140625" customWidth="1"/>
    <col min="14337" max="14337" width="30.42578125" customWidth="1"/>
    <col min="14338" max="14338" width="52.7109375" customWidth="1"/>
    <col min="14339" max="14339" width="12.42578125" customWidth="1"/>
    <col min="14340" max="14340" width="15.42578125" customWidth="1"/>
    <col min="14341" max="14341" width="14.140625" customWidth="1"/>
    <col min="14593" max="14593" width="30.42578125" customWidth="1"/>
    <col min="14594" max="14594" width="52.7109375" customWidth="1"/>
    <col min="14595" max="14595" width="12.42578125" customWidth="1"/>
    <col min="14596" max="14596" width="15.42578125" customWidth="1"/>
    <col min="14597" max="14597" width="14.140625" customWidth="1"/>
    <col min="14849" max="14849" width="30.42578125" customWidth="1"/>
    <col min="14850" max="14850" width="52.7109375" customWidth="1"/>
    <col min="14851" max="14851" width="12.42578125" customWidth="1"/>
    <col min="14852" max="14852" width="15.42578125" customWidth="1"/>
    <col min="14853" max="14853" width="14.140625" customWidth="1"/>
    <col min="15105" max="15105" width="30.42578125" customWidth="1"/>
    <col min="15106" max="15106" width="52.7109375" customWidth="1"/>
    <col min="15107" max="15107" width="12.42578125" customWidth="1"/>
    <col min="15108" max="15108" width="15.42578125" customWidth="1"/>
    <col min="15109" max="15109" width="14.140625" customWidth="1"/>
    <col min="15361" max="15361" width="30.42578125" customWidth="1"/>
    <col min="15362" max="15362" width="52.7109375" customWidth="1"/>
    <col min="15363" max="15363" width="12.42578125" customWidth="1"/>
    <col min="15364" max="15364" width="15.42578125" customWidth="1"/>
    <col min="15365" max="15365" width="14.140625" customWidth="1"/>
    <col min="15617" max="15617" width="30.42578125" customWidth="1"/>
    <col min="15618" max="15618" width="52.7109375" customWidth="1"/>
    <col min="15619" max="15619" width="12.42578125" customWidth="1"/>
    <col min="15620" max="15620" width="15.42578125" customWidth="1"/>
    <col min="15621" max="15621" width="14.140625" customWidth="1"/>
    <col min="15873" max="15873" width="30.42578125" customWidth="1"/>
    <col min="15874" max="15874" width="52.7109375" customWidth="1"/>
    <col min="15875" max="15875" width="12.42578125" customWidth="1"/>
    <col min="15876" max="15876" width="15.42578125" customWidth="1"/>
    <col min="15877" max="15877" width="14.140625" customWidth="1"/>
    <col min="16129" max="16129" width="30.42578125" customWidth="1"/>
    <col min="16130" max="16130" width="52.7109375" customWidth="1"/>
    <col min="16131" max="16131" width="12.42578125" customWidth="1"/>
    <col min="16132" max="16132" width="15.42578125" customWidth="1"/>
    <col min="16133" max="16133" width="14.140625" customWidth="1"/>
  </cols>
  <sheetData>
    <row r="1" spans="1:7" ht="15" x14ac:dyDescent="0.25">
      <c r="A1" s="339" t="s">
        <v>783</v>
      </c>
      <c r="B1" s="339"/>
      <c r="C1" s="339"/>
      <c r="D1" s="339"/>
      <c r="E1" s="339"/>
    </row>
    <row r="2" spans="1:7" ht="15" x14ac:dyDescent="0.25">
      <c r="A2" s="339" t="s">
        <v>754</v>
      </c>
      <c r="B2" s="339"/>
      <c r="C2" s="339"/>
      <c r="D2" s="339"/>
      <c r="E2" s="339"/>
    </row>
    <row r="3" spans="1:7" ht="15" x14ac:dyDescent="0.25">
      <c r="A3" s="339" t="s">
        <v>885</v>
      </c>
      <c r="B3" s="339"/>
      <c r="C3" s="339"/>
      <c r="D3" s="339"/>
      <c r="E3" s="339"/>
    </row>
    <row r="4" spans="1:7" ht="15" x14ac:dyDescent="0.25">
      <c r="A4" s="218"/>
      <c r="B4" s="218"/>
      <c r="C4" s="218"/>
      <c r="D4" s="218"/>
      <c r="E4" s="218"/>
    </row>
    <row r="5" spans="1:7" ht="15.75" x14ac:dyDescent="0.25">
      <c r="A5" s="336" t="s">
        <v>446</v>
      </c>
      <c r="B5" s="336"/>
      <c r="C5" s="336"/>
      <c r="D5" s="336"/>
      <c r="E5" s="336"/>
    </row>
    <row r="6" spans="1:7" ht="15.75" x14ac:dyDescent="0.2">
      <c r="A6" s="352" t="s">
        <v>782</v>
      </c>
      <c r="B6" s="352"/>
      <c r="C6" s="352"/>
      <c r="D6" s="352"/>
      <c r="E6" s="352"/>
    </row>
    <row r="7" spans="1:7" ht="15.75" x14ac:dyDescent="0.25">
      <c r="A7" s="336" t="s">
        <v>778</v>
      </c>
      <c r="B7" s="336"/>
      <c r="C7" s="336"/>
      <c r="D7" s="336"/>
      <c r="E7" s="336"/>
    </row>
    <row r="8" spans="1:7" x14ac:dyDescent="0.2">
      <c r="A8" s="340" t="s">
        <v>447</v>
      </c>
      <c r="B8" s="340"/>
      <c r="C8" s="340"/>
      <c r="D8" s="340"/>
      <c r="E8" s="340"/>
    </row>
    <row r="9" spans="1:7" ht="52.5" x14ac:dyDescent="0.2">
      <c r="A9" s="3" t="s">
        <v>445</v>
      </c>
      <c r="B9" s="4" t="s">
        <v>424</v>
      </c>
      <c r="C9" s="4" t="s">
        <v>781</v>
      </c>
      <c r="D9" s="3" t="s">
        <v>887</v>
      </c>
      <c r="E9" s="11" t="s">
        <v>889</v>
      </c>
    </row>
    <row r="10" spans="1:7" ht="15.75" x14ac:dyDescent="0.25">
      <c r="A10" s="3"/>
      <c r="B10" s="240" t="s">
        <v>780</v>
      </c>
      <c r="C10" s="239">
        <v>610</v>
      </c>
      <c r="D10" s="3"/>
      <c r="E10" s="3"/>
      <c r="F10" s="218"/>
      <c r="G10" s="218"/>
    </row>
    <row r="11" spans="1:7" ht="32.25" customHeight="1" x14ac:dyDescent="0.25">
      <c r="A11" s="26" t="s">
        <v>425</v>
      </c>
      <c r="B11" s="27" t="s">
        <v>116</v>
      </c>
      <c r="C11" s="223">
        <v>610</v>
      </c>
      <c r="D11" s="222">
        <f>D12+D17+D23</f>
        <v>127024.82261000015</v>
      </c>
      <c r="E11" s="222">
        <f>E12+E17+E23</f>
        <v>-52470.335179999471</v>
      </c>
      <c r="F11" s="218"/>
      <c r="G11" s="218"/>
    </row>
    <row r="12" spans="1:7" ht="31.5" x14ac:dyDescent="0.25">
      <c r="A12" s="17" t="s">
        <v>426</v>
      </c>
      <c r="B12" s="6" t="s">
        <v>413</v>
      </c>
      <c r="C12" s="232">
        <v>610</v>
      </c>
      <c r="D12" s="92">
        <f>D13+D15</f>
        <v>-6693.9900000002235</v>
      </c>
      <c r="E12" s="92">
        <f>E13+E15</f>
        <v>-6693.9900000002235</v>
      </c>
      <c r="F12" s="218"/>
      <c r="G12" s="218"/>
    </row>
    <row r="13" spans="1:7" ht="31.5" x14ac:dyDescent="0.25">
      <c r="A13" s="18" t="s">
        <v>427</v>
      </c>
      <c r="B13" s="28" t="s">
        <v>117</v>
      </c>
      <c r="C13" s="226">
        <v>610</v>
      </c>
      <c r="D13" s="91">
        <f>D14</f>
        <v>2314924.0099999998</v>
      </c>
      <c r="E13" s="91">
        <f>E14</f>
        <v>2314924.0099999998</v>
      </c>
      <c r="F13" s="218"/>
      <c r="G13" s="218"/>
    </row>
    <row r="14" spans="1:7" ht="47.25" x14ac:dyDescent="0.25">
      <c r="A14" s="18" t="s">
        <v>428</v>
      </c>
      <c r="B14" s="28" t="s">
        <v>115</v>
      </c>
      <c r="C14" s="226">
        <v>610</v>
      </c>
      <c r="D14" s="91">
        <v>2314924.0099999998</v>
      </c>
      <c r="E14" s="91">
        <v>2314924.0099999998</v>
      </c>
      <c r="F14" s="218"/>
      <c r="G14" s="218"/>
    </row>
    <row r="15" spans="1:7" ht="37.5" customHeight="1" x14ac:dyDescent="0.2">
      <c r="A15" s="18" t="s">
        <v>429</v>
      </c>
      <c r="B15" s="28" t="s">
        <v>118</v>
      </c>
      <c r="C15" s="226">
        <v>610</v>
      </c>
      <c r="D15" s="91">
        <f>D16</f>
        <v>-2321618</v>
      </c>
      <c r="E15" s="91">
        <f>E16</f>
        <v>-2321618</v>
      </c>
      <c r="F15" s="235"/>
      <c r="G15" s="235"/>
    </row>
    <row r="16" spans="1:7" ht="47.25" x14ac:dyDescent="0.2">
      <c r="A16" s="18" t="s">
        <v>430</v>
      </c>
      <c r="B16" s="28" t="s">
        <v>120</v>
      </c>
      <c r="C16" s="226">
        <v>610</v>
      </c>
      <c r="D16" s="91">
        <v>-2321618</v>
      </c>
      <c r="E16" s="91">
        <v>-2321618</v>
      </c>
      <c r="F16" s="235"/>
      <c r="G16" s="235"/>
    </row>
    <row r="17" spans="1:13" ht="37.5" customHeight="1" x14ac:dyDescent="0.2">
      <c r="A17" s="17" t="s">
        <v>431</v>
      </c>
      <c r="B17" s="6" t="s">
        <v>205</v>
      </c>
      <c r="C17" s="232">
        <v>610</v>
      </c>
      <c r="D17" s="92">
        <f>D18+D20</f>
        <v>-4400</v>
      </c>
      <c r="E17" s="92">
        <f>E18+E20</f>
        <v>-4400</v>
      </c>
      <c r="F17" s="235"/>
      <c r="G17" s="235"/>
    </row>
    <row r="18" spans="1:13" ht="49.5" customHeight="1" x14ac:dyDescent="0.2">
      <c r="A18" s="16" t="s">
        <v>202</v>
      </c>
      <c r="B18" s="71" t="s">
        <v>288</v>
      </c>
      <c r="C18" s="241" t="s">
        <v>409</v>
      </c>
      <c r="D18" s="91">
        <f>D19</f>
        <v>718646</v>
      </c>
      <c r="E18" s="91">
        <f>E19</f>
        <v>718646</v>
      </c>
      <c r="F18" s="235"/>
      <c r="G18" s="235"/>
    </row>
    <row r="19" spans="1:13" ht="54" customHeight="1" x14ac:dyDescent="0.2">
      <c r="A19" s="16" t="s">
        <v>201</v>
      </c>
      <c r="B19" s="71" t="s">
        <v>289</v>
      </c>
      <c r="C19" s="241" t="s">
        <v>409</v>
      </c>
      <c r="D19" s="91">
        <v>718646</v>
      </c>
      <c r="E19" s="91">
        <v>718646</v>
      </c>
      <c r="F19" s="235"/>
      <c r="G19" s="235"/>
    </row>
    <row r="20" spans="1:13" ht="49.5" customHeight="1" x14ac:dyDescent="0.2">
      <c r="A20" s="18" t="s">
        <v>203</v>
      </c>
      <c r="B20" s="71" t="s">
        <v>291</v>
      </c>
      <c r="C20" s="241" t="s">
        <v>409</v>
      </c>
      <c r="D20" s="91">
        <f>D21</f>
        <v>-723046</v>
      </c>
      <c r="E20" s="91">
        <f>E21</f>
        <v>-723046</v>
      </c>
      <c r="F20" s="235"/>
      <c r="G20" s="235"/>
    </row>
    <row r="21" spans="1:13" ht="65.25" customHeight="1" x14ac:dyDescent="0.2">
      <c r="A21" s="18" t="s">
        <v>204</v>
      </c>
      <c r="B21" s="71" t="s">
        <v>292</v>
      </c>
      <c r="C21" s="241" t="s">
        <v>409</v>
      </c>
      <c r="D21" s="91">
        <v>-723046</v>
      </c>
      <c r="E21" s="91">
        <v>-723046</v>
      </c>
      <c r="F21" s="235"/>
      <c r="G21" s="235"/>
    </row>
    <row r="22" spans="1:13" ht="15.75" x14ac:dyDescent="0.2">
      <c r="A22" s="18"/>
      <c r="B22" s="240" t="s">
        <v>780</v>
      </c>
      <c r="C22" s="239">
        <v>610</v>
      </c>
      <c r="D22" s="238"/>
      <c r="E22" s="238"/>
      <c r="F22" s="235"/>
      <c r="G22" s="235"/>
      <c r="H22" s="235"/>
      <c r="I22" s="235"/>
      <c r="J22" s="235"/>
      <c r="K22" s="235"/>
      <c r="L22" s="235"/>
      <c r="M22" s="235"/>
    </row>
    <row r="23" spans="1:13" ht="31.5" x14ac:dyDescent="0.25">
      <c r="A23" s="13" t="s">
        <v>432</v>
      </c>
      <c r="B23" s="93" t="s">
        <v>433</v>
      </c>
      <c r="C23" s="237">
        <v>610</v>
      </c>
      <c r="D23" s="94">
        <f>D24+D28</f>
        <v>138118.81261000037</v>
      </c>
      <c r="E23" s="94">
        <f>E24+E28</f>
        <v>-41376.345179999247</v>
      </c>
      <c r="F23" s="236"/>
      <c r="G23" s="236"/>
      <c r="H23" s="236"/>
      <c r="I23" s="236"/>
      <c r="J23" s="236"/>
      <c r="K23" s="236"/>
      <c r="L23" s="236"/>
      <c r="M23" s="236"/>
    </row>
    <row r="24" spans="1:13" ht="15.75" x14ac:dyDescent="0.2">
      <c r="A24" s="70" t="s">
        <v>185</v>
      </c>
      <c r="B24" s="95" t="s">
        <v>186</v>
      </c>
      <c r="C24" s="234">
        <v>610</v>
      </c>
      <c r="D24" s="96">
        <f t="shared" ref="D24:E26" si="0">D25</f>
        <v>-8572286.2099900004</v>
      </c>
      <c r="E24" s="96">
        <f t="shared" si="0"/>
        <v>-8599621.4522500001</v>
      </c>
    </row>
    <row r="25" spans="1:13" ht="15.75" x14ac:dyDescent="0.2">
      <c r="A25" s="70" t="s">
        <v>187</v>
      </c>
      <c r="B25" s="95" t="s">
        <v>188</v>
      </c>
      <c r="C25" s="234">
        <v>610</v>
      </c>
      <c r="D25" s="96">
        <f t="shared" si="0"/>
        <v>-8572286.2099900004</v>
      </c>
      <c r="E25" s="96">
        <f t="shared" si="0"/>
        <v>-8599621.4522500001</v>
      </c>
      <c r="F25" s="235"/>
      <c r="G25" s="235"/>
      <c r="H25" s="235"/>
      <c r="I25" s="235"/>
      <c r="J25" s="235"/>
      <c r="K25" s="235"/>
      <c r="L25" s="235"/>
      <c r="M25" s="235"/>
    </row>
    <row r="26" spans="1:13" ht="31.5" x14ac:dyDescent="0.2">
      <c r="A26" s="70" t="s">
        <v>189</v>
      </c>
      <c r="B26" s="95" t="s">
        <v>190</v>
      </c>
      <c r="C26" s="234">
        <v>610</v>
      </c>
      <c r="D26" s="96">
        <f t="shared" si="0"/>
        <v>-8572286.2099900004</v>
      </c>
      <c r="E26" s="96">
        <f t="shared" si="0"/>
        <v>-8599621.4522500001</v>
      </c>
    </row>
    <row r="27" spans="1:13" ht="31.5" x14ac:dyDescent="0.2">
      <c r="A27" s="70" t="s">
        <v>191</v>
      </c>
      <c r="B27" s="95" t="s">
        <v>192</v>
      </c>
      <c r="C27" s="234">
        <v>610</v>
      </c>
      <c r="D27" s="96">
        <v>-8572286.2099900004</v>
      </c>
      <c r="E27" s="96">
        <v>-8599621.4522500001</v>
      </c>
    </row>
    <row r="28" spans="1:13" ht="15.75" x14ac:dyDescent="0.2">
      <c r="A28" s="70" t="s">
        <v>193</v>
      </c>
      <c r="B28" s="95" t="s">
        <v>194</v>
      </c>
      <c r="C28" s="234">
        <v>610</v>
      </c>
      <c r="D28" s="96">
        <f t="shared" ref="D28:E30" si="1">D29</f>
        <v>8710405.0226000007</v>
      </c>
      <c r="E28" s="96">
        <f t="shared" si="1"/>
        <v>8558245.1070700008</v>
      </c>
    </row>
    <row r="29" spans="1:13" ht="15.75" x14ac:dyDescent="0.2">
      <c r="A29" s="70" t="s">
        <v>195</v>
      </c>
      <c r="B29" s="95" t="s">
        <v>196</v>
      </c>
      <c r="C29" s="234">
        <v>610</v>
      </c>
      <c r="D29" s="96">
        <f t="shared" si="1"/>
        <v>8710405.0226000007</v>
      </c>
      <c r="E29" s="96">
        <f t="shared" si="1"/>
        <v>8558245.1070700008</v>
      </c>
    </row>
    <row r="30" spans="1:13" ht="31.5" x14ac:dyDescent="0.2">
      <c r="A30" s="70" t="s">
        <v>197</v>
      </c>
      <c r="B30" s="95" t="s">
        <v>198</v>
      </c>
      <c r="C30" s="234">
        <v>610</v>
      </c>
      <c r="D30" s="96">
        <f t="shared" si="1"/>
        <v>8710405.0226000007</v>
      </c>
      <c r="E30" s="96">
        <f t="shared" si="1"/>
        <v>8558245.1070700008</v>
      </c>
    </row>
    <row r="31" spans="1:13" ht="31.5" x14ac:dyDescent="0.2">
      <c r="A31" s="70" t="s">
        <v>199</v>
      </c>
      <c r="B31" s="95" t="s">
        <v>200</v>
      </c>
      <c r="C31" s="234">
        <v>610</v>
      </c>
      <c r="D31" s="96">
        <v>8710405.0226000007</v>
      </c>
      <c r="E31" s="96">
        <v>8558245.1070700008</v>
      </c>
    </row>
    <row r="32" spans="1:13" ht="15.75" x14ac:dyDescent="0.2">
      <c r="A32" s="80"/>
      <c r="B32" s="81"/>
      <c r="C32" s="81"/>
      <c r="D32" s="82"/>
      <c r="E32" s="82"/>
    </row>
    <row r="33" spans="1:5" ht="30.75" customHeight="1" x14ac:dyDescent="0.25">
      <c r="A33" s="351" t="s">
        <v>967</v>
      </c>
      <c r="B33" s="351"/>
      <c r="C33" s="351"/>
      <c r="D33" s="351"/>
      <c r="E33" s="351"/>
    </row>
    <row r="34" spans="1:5" x14ac:dyDescent="0.2">
      <c r="A34" s="5"/>
      <c r="B34" s="5"/>
      <c r="C34" s="5"/>
      <c r="D34" s="25"/>
      <c r="E34" s="25"/>
    </row>
    <row r="35" spans="1:5" x14ac:dyDescent="0.2">
      <c r="A35" s="5"/>
      <c r="B35" s="5"/>
      <c r="C35" s="5"/>
      <c r="D35" s="25"/>
      <c r="E35" s="25"/>
    </row>
    <row r="36" spans="1:5" x14ac:dyDescent="0.2">
      <c r="A36" s="5"/>
      <c r="B36" s="5"/>
      <c r="C36" s="5"/>
      <c r="D36" s="25"/>
      <c r="E36" s="25"/>
    </row>
    <row r="37" spans="1:5" x14ac:dyDescent="0.2">
      <c r="A37" s="5"/>
      <c r="B37" s="5"/>
      <c r="C37" s="5"/>
      <c r="D37" s="25"/>
      <c r="E37" s="25"/>
    </row>
    <row r="38" spans="1:5" x14ac:dyDescent="0.2">
      <c r="A38" s="5"/>
      <c r="B38" s="5"/>
      <c r="C38" s="5"/>
      <c r="D38" s="25"/>
      <c r="E38" s="25"/>
    </row>
    <row r="39" spans="1:5" x14ac:dyDescent="0.2">
      <c r="A39" s="5"/>
      <c r="B39" s="5"/>
      <c r="C39" s="5"/>
      <c r="D39" s="25"/>
      <c r="E39" s="25"/>
    </row>
    <row r="40" spans="1:5" x14ac:dyDescent="0.2">
      <c r="A40" s="5"/>
      <c r="B40" s="5"/>
      <c r="C40" s="5"/>
      <c r="D40" s="25"/>
      <c r="E40" s="25"/>
    </row>
    <row r="41" spans="1:5" x14ac:dyDescent="0.2">
      <c r="D41" s="19"/>
      <c r="E41" s="19"/>
    </row>
    <row r="42" spans="1:5" x14ac:dyDescent="0.2">
      <c r="D42" s="19"/>
      <c r="E42" s="19"/>
    </row>
    <row r="43" spans="1:5" x14ac:dyDescent="0.2">
      <c r="D43" s="19"/>
      <c r="E43" s="19"/>
    </row>
  </sheetData>
  <mergeCells count="8">
    <mergeCell ref="A8:E8"/>
    <mergeCell ref="A33:E33"/>
    <mergeCell ref="A1:E1"/>
    <mergeCell ref="A2:E2"/>
    <mergeCell ref="A3:E3"/>
    <mergeCell ref="A5:E5"/>
    <mergeCell ref="A6:E6"/>
    <mergeCell ref="A7:E7"/>
  </mergeCells>
  <pageMargins left="0.59055118110236227" right="0.39370078740157483" top="0.39370078740157483" bottom="0.39370078740157483" header="0" footer="0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H41"/>
  <sheetViews>
    <sheetView view="pageBreakPreview" zoomScale="150" zoomScaleNormal="100" zoomScaleSheetLayoutView="150" workbookViewId="0">
      <selection activeCell="A5" sqref="A5:D5"/>
    </sheetView>
  </sheetViews>
  <sheetFormatPr defaultRowHeight="12.75" x14ac:dyDescent="0.2"/>
  <cols>
    <col min="1" max="1" width="26.42578125" customWidth="1"/>
    <col min="2" max="2" width="63.7109375" customWidth="1"/>
    <col min="3" max="3" width="18.85546875" customWidth="1"/>
    <col min="4" max="4" width="15.7109375" customWidth="1"/>
  </cols>
  <sheetData>
    <row r="1" spans="1:8" ht="15" x14ac:dyDescent="0.25">
      <c r="A1" s="348" t="s">
        <v>733</v>
      </c>
      <c r="B1" s="348"/>
      <c r="C1" s="348"/>
      <c r="D1" s="348"/>
      <c r="E1" s="282"/>
      <c r="F1" s="282"/>
      <c r="G1" s="282"/>
      <c r="H1" s="282"/>
    </row>
    <row r="2" spans="1:8" ht="15" customHeight="1" x14ac:dyDescent="0.25">
      <c r="A2" s="339" t="s">
        <v>776</v>
      </c>
      <c r="B2" s="339"/>
      <c r="C2" s="339"/>
      <c r="D2" s="339"/>
      <c r="E2" s="281"/>
      <c r="F2" s="281"/>
      <c r="G2" s="281"/>
      <c r="H2" s="281"/>
    </row>
    <row r="4" spans="1:8" ht="9.75" customHeight="1" x14ac:dyDescent="0.25">
      <c r="A4" s="1"/>
      <c r="B4" s="1"/>
      <c r="C4" s="1"/>
    </row>
    <row r="5" spans="1:8" ht="15.75" x14ac:dyDescent="0.25">
      <c r="A5" s="336" t="s">
        <v>446</v>
      </c>
      <c r="B5" s="336"/>
      <c r="C5" s="336"/>
      <c r="D5" s="336"/>
    </row>
    <row r="6" spans="1:8" ht="15.75" x14ac:dyDescent="0.25">
      <c r="A6" s="336" t="s">
        <v>455</v>
      </c>
      <c r="B6" s="336"/>
      <c r="C6" s="336"/>
      <c r="D6" s="336"/>
    </row>
    <row r="7" spans="1:8" ht="15.75" x14ac:dyDescent="0.25">
      <c r="A7" s="336" t="s">
        <v>517</v>
      </c>
      <c r="B7" s="336"/>
      <c r="C7" s="336"/>
      <c r="D7" s="336"/>
    </row>
    <row r="8" spans="1:8" ht="13.5" customHeight="1" x14ac:dyDescent="0.2">
      <c r="A8" s="340" t="s">
        <v>447</v>
      </c>
      <c r="B8" s="340"/>
      <c r="C8" s="340"/>
    </row>
    <row r="9" spans="1:8" ht="45.75" customHeight="1" x14ac:dyDescent="0.2">
      <c r="A9" s="3" t="s">
        <v>445</v>
      </c>
      <c r="B9" s="4" t="s">
        <v>424</v>
      </c>
      <c r="C9" s="102" t="s">
        <v>887</v>
      </c>
      <c r="D9" s="11" t="s">
        <v>888</v>
      </c>
    </row>
    <row r="10" spans="1:8" ht="31.5" x14ac:dyDescent="0.2">
      <c r="A10" s="26" t="s">
        <v>425</v>
      </c>
      <c r="B10" s="27" t="s">
        <v>116</v>
      </c>
      <c r="C10" s="72">
        <f>C11+C16+C21</f>
        <v>127024.82261000201</v>
      </c>
      <c r="D10" s="72">
        <f>D11+D16+D21</f>
        <v>-52470.335179999471</v>
      </c>
    </row>
    <row r="11" spans="1:8" s="7" customFormat="1" ht="31.5" x14ac:dyDescent="0.2">
      <c r="A11" s="17" t="s">
        <v>426</v>
      </c>
      <c r="B11" s="6" t="s">
        <v>413</v>
      </c>
      <c r="C11" s="92">
        <f>C12+C14</f>
        <v>-6693.9900000002235</v>
      </c>
      <c r="D11" s="92">
        <f>D12+D14</f>
        <v>-6693.9900000002235</v>
      </c>
    </row>
    <row r="12" spans="1:8" ht="31.5" x14ac:dyDescent="0.2">
      <c r="A12" s="18" t="s">
        <v>427</v>
      </c>
      <c r="B12" s="28" t="s">
        <v>117</v>
      </c>
      <c r="C12" s="91">
        <f>C13</f>
        <v>2314924.0099999998</v>
      </c>
      <c r="D12" s="91">
        <f>D13</f>
        <v>2314924.0099999998</v>
      </c>
    </row>
    <row r="13" spans="1:8" ht="30.75" customHeight="1" x14ac:dyDescent="0.2">
      <c r="A13" s="18" t="s">
        <v>428</v>
      </c>
      <c r="B13" s="28" t="s">
        <v>115</v>
      </c>
      <c r="C13" s="91">
        <f>280000+85809+85000+218000+182000+200000+110000+118345+180000+4400-118345+1160809-4400-26392.92963-3605.07178-5476.065-2252.24-15411-46578.292-39439.623-40844.77859-6693.99</f>
        <v>2314924.0099999998</v>
      </c>
      <c r="D13" s="91">
        <v>2314924.0099999998</v>
      </c>
    </row>
    <row r="14" spans="1:8" ht="30.75" customHeight="1" x14ac:dyDescent="0.2">
      <c r="A14" s="18" t="s">
        <v>429</v>
      </c>
      <c r="B14" s="28" t="s">
        <v>118</v>
      </c>
      <c r="C14" s="91">
        <f>C15</f>
        <v>-2321618</v>
      </c>
      <c r="D14" s="91">
        <f>D15</f>
        <v>-2321618</v>
      </c>
    </row>
    <row r="15" spans="1:8" ht="30.75" customHeight="1" x14ac:dyDescent="0.2">
      <c r="A15" s="18" t="s">
        <v>430</v>
      </c>
      <c r="B15" s="28" t="s">
        <v>120</v>
      </c>
      <c r="C15" s="91">
        <f>-280000-85809-85000-218000-182000-200000-110000-118345+118345-1160809-6693.99+6693.99</f>
        <v>-2321618</v>
      </c>
      <c r="D15" s="91">
        <v>-2321618</v>
      </c>
    </row>
    <row r="16" spans="1:8" ht="33" customHeight="1" x14ac:dyDescent="0.2">
      <c r="A16" s="17" t="s">
        <v>431</v>
      </c>
      <c r="B16" s="6" t="s">
        <v>205</v>
      </c>
      <c r="C16" s="92">
        <f>C19+C17</f>
        <v>-4400</v>
      </c>
      <c r="D16" s="92">
        <f>D19+D17</f>
        <v>-4400</v>
      </c>
    </row>
    <row r="17" spans="1:4" ht="37.5" customHeight="1" x14ac:dyDescent="0.2">
      <c r="A17" s="16" t="s">
        <v>202</v>
      </c>
      <c r="B17" s="71" t="s">
        <v>288</v>
      </c>
      <c r="C17" s="91">
        <f>C18</f>
        <v>718646</v>
      </c>
      <c r="D17" s="91">
        <f>D18</f>
        <v>718646</v>
      </c>
    </row>
    <row r="18" spans="1:4" ht="50.25" customHeight="1" x14ac:dyDescent="0.2">
      <c r="A18" s="16" t="s">
        <v>201</v>
      </c>
      <c r="B18" s="71" t="s">
        <v>289</v>
      </c>
      <c r="C18" s="91">
        <f>218646+500000+218646+218646-218646-218646</f>
        <v>718646</v>
      </c>
      <c r="D18" s="91">
        <v>718646</v>
      </c>
    </row>
    <row r="19" spans="1:4" ht="48.75" customHeight="1" x14ac:dyDescent="0.2">
      <c r="A19" s="18" t="s">
        <v>203</v>
      </c>
      <c r="B19" s="71" t="s">
        <v>291</v>
      </c>
      <c r="C19" s="91">
        <f>C20</f>
        <v>-723046</v>
      </c>
      <c r="D19" s="91">
        <f>D20</f>
        <v>-723046</v>
      </c>
    </row>
    <row r="20" spans="1:4" ht="46.5" customHeight="1" x14ac:dyDescent="0.2">
      <c r="A20" s="18" t="s">
        <v>204</v>
      </c>
      <c r="B20" s="71" t="s">
        <v>292</v>
      </c>
      <c r="C20" s="91">
        <f>-218646-4400-500000-218646-218646+218646+218646</f>
        <v>-723046</v>
      </c>
      <c r="D20" s="91">
        <v>-723046</v>
      </c>
    </row>
    <row r="21" spans="1:4" s="5" customFormat="1" ht="30.75" customHeight="1" x14ac:dyDescent="0.2">
      <c r="A21" s="13" t="s">
        <v>432</v>
      </c>
      <c r="B21" s="93" t="s">
        <v>433</v>
      </c>
      <c r="C21" s="94">
        <f>C25+C29</f>
        <v>138118.81261000223</v>
      </c>
      <c r="D21" s="94">
        <f>D25+D29</f>
        <v>-41376.345179999247</v>
      </c>
    </row>
    <row r="22" spans="1:4" s="5" customFormat="1" ht="21" customHeight="1" x14ac:dyDescent="0.2">
      <c r="A22" s="70" t="s">
        <v>185</v>
      </c>
      <c r="B22" s="95" t="s">
        <v>186</v>
      </c>
      <c r="C22" s="96">
        <f t="shared" ref="C22:D24" si="0">C23</f>
        <v>-8572286.2099900022</v>
      </c>
      <c r="D22" s="96">
        <f t="shared" si="0"/>
        <v>-8599621.4522500001</v>
      </c>
    </row>
    <row r="23" spans="1:4" s="5" customFormat="1" ht="18" customHeight="1" x14ac:dyDescent="0.2">
      <c r="A23" s="70" t="s">
        <v>187</v>
      </c>
      <c r="B23" s="95" t="s">
        <v>188</v>
      </c>
      <c r="C23" s="96">
        <f t="shared" si="0"/>
        <v>-8572286.2099900022</v>
      </c>
      <c r="D23" s="96">
        <f t="shared" si="0"/>
        <v>-8599621.4522500001</v>
      </c>
    </row>
    <row r="24" spans="1:4" s="5" customFormat="1" ht="17.25" customHeight="1" x14ac:dyDescent="0.2">
      <c r="A24" s="70" t="s">
        <v>189</v>
      </c>
      <c r="B24" s="95" t="s">
        <v>190</v>
      </c>
      <c r="C24" s="96">
        <f t="shared" si="0"/>
        <v>-8572286.2099900022</v>
      </c>
      <c r="D24" s="96">
        <f t="shared" si="0"/>
        <v>-8599621.4522500001</v>
      </c>
    </row>
    <row r="25" spans="1:4" s="5" customFormat="1" ht="30.75" customHeight="1" x14ac:dyDescent="0.2">
      <c r="A25" s="70" t="s">
        <v>191</v>
      </c>
      <c r="B25" s="95" t="s">
        <v>192</v>
      </c>
      <c r="C25" s="96">
        <f>-4998307-1463554-218646-50000-436-121377.1-30664.167-0.02-351.075-1711.5+118345-69.89247-85917.9798-150000-500000+0.02-218646-218646-836.021+6060.85-27113.54-8362.30672-71233.84368-32810.4-1160809+1777+40118.7+13451.82+2351.39+218646+218646+4400+26392.92963+3605.07178+5476.065+2252.24+15411+46578.292+39439.623+40844.77859+6693.99-3700-1634-36282.7+5316.44+13015.12568</f>
        <v>-8572286.2099900022</v>
      </c>
      <c r="D25" s="96">
        <v>-8599621.4522500001</v>
      </c>
    </row>
    <row r="26" spans="1:4" s="5" customFormat="1" ht="15.75" customHeight="1" x14ac:dyDescent="0.2">
      <c r="A26" s="70" t="s">
        <v>193</v>
      </c>
      <c r="B26" s="95" t="s">
        <v>194</v>
      </c>
      <c r="C26" s="96">
        <f t="shared" ref="C26:D28" si="1">C27</f>
        <v>8710405.0226000044</v>
      </c>
      <c r="D26" s="96">
        <f t="shared" si="1"/>
        <v>8558245.1070700008</v>
      </c>
    </row>
    <row r="27" spans="1:4" s="5" customFormat="1" ht="14.25" customHeight="1" x14ac:dyDescent="0.2">
      <c r="A27" s="70" t="s">
        <v>195</v>
      </c>
      <c r="B27" s="95" t="s">
        <v>196</v>
      </c>
      <c r="C27" s="96">
        <f t="shared" si="1"/>
        <v>8710405.0226000044</v>
      </c>
      <c r="D27" s="96">
        <f t="shared" si="1"/>
        <v>8558245.1070700008</v>
      </c>
    </row>
    <row r="28" spans="1:4" s="5" customFormat="1" ht="15" customHeight="1" x14ac:dyDescent="0.2">
      <c r="A28" s="70" t="s">
        <v>197</v>
      </c>
      <c r="B28" s="95" t="s">
        <v>198</v>
      </c>
      <c r="C28" s="96">
        <f t="shared" si="1"/>
        <v>8710405.0226000044</v>
      </c>
      <c r="D28" s="96">
        <f t="shared" si="1"/>
        <v>8558245.1070700008</v>
      </c>
    </row>
    <row r="29" spans="1:4" s="5" customFormat="1" ht="30.75" customHeight="1" x14ac:dyDescent="0.2">
      <c r="A29" s="70" t="s">
        <v>199</v>
      </c>
      <c r="B29" s="95" t="s">
        <v>200</v>
      </c>
      <c r="C29" s="96">
        <f>5178307+1279154+218646+4400+50000+436+121377.1+30664.167+0.02+351.075+1711.5+8181.06419-118345+69.89247+85917.9798+150000+11721.779+28526.696+500000-0.02+218646+218646+836.021+2759.09079+54171.157-6060.85+27113.54+8362.30672+71233.84368+32810.4+1160809+6693.99-1777-40118.7-13451.82-2351.39-327.894-218646-218646-4400-3605.07178-5476.065-2252.24-15411-46578.292-39439.623-40844.77859-6693.99+3700+1634+36282.7-5316.44-13015.12568</f>
        <v>8710405.0226000044</v>
      </c>
      <c r="D29" s="96">
        <v>8558245.1070700008</v>
      </c>
    </row>
    <row r="30" spans="1:4" s="5" customFormat="1" ht="14.25" customHeight="1" x14ac:dyDescent="0.2">
      <c r="A30" s="80"/>
      <c r="B30" s="81"/>
      <c r="C30" s="82"/>
    </row>
    <row r="31" spans="1:4" s="5" customFormat="1" ht="13.5" customHeight="1" x14ac:dyDescent="0.25">
      <c r="A31" s="351" t="s">
        <v>967</v>
      </c>
      <c r="B31" s="353"/>
      <c r="C31" s="353"/>
    </row>
    <row r="32" spans="1:4" s="5" customFormat="1" x14ac:dyDescent="0.2">
      <c r="C32" s="25"/>
    </row>
    <row r="33" spans="3:3" s="5" customFormat="1" x14ac:dyDescent="0.2">
      <c r="C33" s="25"/>
    </row>
    <row r="34" spans="3:3" s="5" customFormat="1" x14ac:dyDescent="0.2">
      <c r="C34" s="25"/>
    </row>
    <row r="35" spans="3:3" s="5" customFormat="1" x14ac:dyDescent="0.2">
      <c r="C35" s="25"/>
    </row>
    <row r="36" spans="3:3" s="5" customFormat="1" x14ac:dyDescent="0.2">
      <c r="C36" s="25"/>
    </row>
    <row r="37" spans="3:3" s="5" customFormat="1" x14ac:dyDescent="0.2">
      <c r="C37" s="25"/>
    </row>
    <row r="38" spans="3:3" s="5" customFormat="1" x14ac:dyDescent="0.2">
      <c r="C38" s="25"/>
    </row>
    <row r="39" spans="3:3" x14ac:dyDescent="0.2">
      <c r="C39" s="19"/>
    </row>
    <row r="40" spans="3:3" x14ac:dyDescent="0.2">
      <c r="C40" s="19"/>
    </row>
    <row r="41" spans="3:3" x14ac:dyDescent="0.2">
      <c r="C41" s="19"/>
    </row>
  </sheetData>
  <mergeCells count="7">
    <mergeCell ref="A1:D1"/>
    <mergeCell ref="A2:D2"/>
    <mergeCell ref="A31:C31"/>
    <mergeCell ref="A8:C8"/>
    <mergeCell ref="A7:D7"/>
    <mergeCell ref="A6:D6"/>
    <mergeCell ref="A5:D5"/>
  </mergeCells>
  <phoneticPr fontId="2" type="noConversion"/>
  <pageMargins left="0.59055118110236227" right="0.39370078740157483" top="0.39370078740157483" bottom="0.39370078740157483" header="0" footer="0"/>
  <pageSetup paperSize="9" scale="75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FF"/>
  </sheetPr>
  <dimension ref="A1:J12"/>
  <sheetViews>
    <sheetView tabSelected="1" view="pageBreakPreview" zoomScale="120" zoomScaleNormal="120" workbookViewId="0">
      <selection activeCell="G7" sqref="G7"/>
    </sheetView>
  </sheetViews>
  <sheetFormatPr defaultRowHeight="12.75" x14ac:dyDescent="0.2"/>
  <cols>
    <col min="2" max="2" width="18.28515625" customWidth="1"/>
    <col min="4" max="4" width="17" customWidth="1"/>
    <col min="5" max="5" width="16.85546875" customWidth="1"/>
    <col min="6" max="6" width="17.28515625" customWidth="1"/>
    <col min="7" max="7" width="20.5703125" customWidth="1"/>
    <col min="8" max="8" width="13.42578125" customWidth="1"/>
    <col min="9" max="9" width="14.7109375" customWidth="1"/>
    <col min="10" max="10" width="10.140625" customWidth="1"/>
    <col min="258" max="258" width="18.28515625" customWidth="1"/>
    <col min="260" max="260" width="17" customWidth="1"/>
    <col min="261" max="261" width="14.5703125" customWidth="1"/>
    <col min="262" max="262" width="17.28515625" customWidth="1"/>
    <col min="263" max="263" width="20.5703125" customWidth="1"/>
    <col min="264" max="264" width="13.28515625" customWidth="1"/>
    <col min="265" max="265" width="12.140625" customWidth="1"/>
    <col min="266" max="266" width="12.42578125" customWidth="1"/>
    <col min="514" max="514" width="18.28515625" customWidth="1"/>
    <col min="516" max="516" width="17" customWidth="1"/>
    <col min="517" max="517" width="14.5703125" customWidth="1"/>
    <col min="518" max="518" width="17.28515625" customWidth="1"/>
    <col min="519" max="519" width="20.5703125" customWidth="1"/>
    <col min="520" max="520" width="13.28515625" customWidth="1"/>
    <col min="521" max="521" width="12.140625" customWidth="1"/>
    <col min="522" max="522" width="12.42578125" customWidth="1"/>
    <col min="770" max="770" width="18.28515625" customWidth="1"/>
    <col min="772" max="772" width="17" customWidth="1"/>
    <col min="773" max="773" width="14.5703125" customWidth="1"/>
    <col min="774" max="774" width="17.28515625" customWidth="1"/>
    <col min="775" max="775" width="20.5703125" customWidth="1"/>
    <col min="776" max="776" width="13.28515625" customWidth="1"/>
    <col min="777" max="777" width="12.140625" customWidth="1"/>
    <col min="778" max="778" width="12.42578125" customWidth="1"/>
    <col min="1026" max="1026" width="18.28515625" customWidth="1"/>
    <col min="1028" max="1028" width="17" customWidth="1"/>
    <col min="1029" max="1029" width="14.5703125" customWidth="1"/>
    <col min="1030" max="1030" width="17.28515625" customWidth="1"/>
    <col min="1031" max="1031" width="20.5703125" customWidth="1"/>
    <col min="1032" max="1032" width="13.28515625" customWidth="1"/>
    <col min="1033" max="1033" width="12.140625" customWidth="1"/>
    <col min="1034" max="1034" width="12.42578125" customWidth="1"/>
    <col min="1282" max="1282" width="18.28515625" customWidth="1"/>
    <col min="1284" max="1284" width="17" customWidth="1"/>
    <col min="1285" max="1285" width="14.5703125" customWidth="1"/>
    <col min="1286" max="1286" width="17.28515625" customWidth="1"/>
    <col min="1287" max="1287" width="20.5703125" customWidth="1"/>
    <col min="1288" max="1288" width="13.28515625" customWidth="1"/>
    <col min="1289" max="1289" width="12.140625" customWidth="1"/>
    <col min="1290" max="1290" width="12.42578125" customWidth="1"/>
    <col min="1538" max="1538" width="18.28515625" customWidth="1"/>
    <col min="1540" max="1540" width="17" customWidth="1"/>
    <col min="1541" max="1541" width="14.5703125" customWidth="1"/>
    <col min="1542" max="1542" width="17.28515625" customWidth="1"/>
    <col min="1543" max="1543" width="20.5703125" customWidth="1"/>
    <col min="1544" max="1544" width="13.28515625" customWidth="1"/>
    <col min="1545" max="1545" width="12.140625" customWidth="1"/>
    <col min="1546" max="1546" width="12.42578125" customWidth="1"/>
    <col min="1794" max="1794" width="18.28515625" customWidth="1"/>
    <col min="1796" max="1796" width="17" customWidth="1"/>
    <col min="1797" max="1797" width="14.5703125" customWidth="1"/>
    <col min="1798" max="1798" width="17.28515625" customWidth="1"/>
    <col min="1799" max="1799" width="20.5703125" customWidth="1"/>
    <col min="1800" max="1800" width="13.28515625" customWidth="1"/>
    <col min="1801" max="1801" width="12.140625" customWidth="1"/>
    <col min="1802" max="1802" width="12.42578125" customWidth="1"/>
    <col min="2050" max="2050" width="18.28515625" customWidth="1"/>
    <col min="2052" max="2052" width="17" customWidth="1"/>
    <col min="2053" max="2053" width="14.5703125" customWidth="1"/>
    <col min="2054" max="2054" width="17.28515625" customWidth="1"/>
    <col min="2055" max="2055" width="20.5703125" customWidth="1"/>
    <col min="2056" max="2056" width="13.28515625" customWidth="1"/>
    <col min="2057" max="2057" width="12.140625" customWidth="1"/>
    <col min="2058" max="2058" width="12.42578125" customWidth="1"/>
    <col min="2306" max="2306" width="18.28515625" customWidth="1"/>
    <col min="2308" max="2308" width="17" customWidth="1"/>
    <col min="2309" max="2309" width="14.5703125" customWidth="1"/>
    <col min="2310" max="2310" width="17.28515625" customWidth="1"/>
    <col min="2311" max="2311" width="20.5703125" customWidth="1"/>
    <col min="2312" max="2312" width="13.28515625" customWidth="1"/>
    <col min="2313" max="2313" width="12.140625" customWidth="1"/>
    <col min="2314" max="2314" width="12.42578125" customWidth="1"/>
    <col min="2562" max="2562" width="18.28515625" customWidth="1"/>
    <col min="2564" max="2564" width="17" customWidth="1"/>
    <col min="2565" max="2565" width="14.5703125" customWidth="1"/>
    <col min="2566" max="2566" width="17.28515625" customWidth="1"/>
    <col min="2567" max="2567" width="20.5703125" customWidth="1"/>
    <col min="2568" max="2568" width="13.28515625" customWidth="1"/>
    <col min="2569" max="2569" width="12.140625" customWidth="1"/>
    <col min="2570" max="2570" width="12.42578125" customWidth="1"/>
    <col min="2818" max="2818" width="18.28515625" customWidth="1"/>
    <col min="2820" max="2820" width="17" customWidth="1"/>
    <col min="2821" max="2821" width="14.5703125" customWidth="1"/>
    <col min="2822" max="2822" width="17.28515625" customWidth="1"/>
    <col min="2823" max="2823" width="20.5703125" customWidth="1"/>
    <col min="2824" max="2824" width="13.28515625" customWidth="1"/>
    <col min="2825" max="2825" width="12.140625" customWidth="1"/>
    <col min="2826" max="2826" width="12.42578125" customWidth="1"/>
    <col min="3074" max="3074" width="18.28515625" customWidth="1"/>
    <col min="3076" max="3076" width="17" customWidth="1"/>
    <col min="3077" max="3077" width="14.5703125" customWidth="1"/>
    <col min="3078" max="3078" width="17.28515625" customWidth="1"/>
    <col min="3079" max="3079" width="20.5703125" customWidth="1"/>
    <col min="3080" max="3080" width="13.28515625" customWidth="1"/>
    <col min="3081" max="3081" width="12.140625" customWidth="1"/>
    <col min="3082" max="3082" width="12.42578125" customWidth="1"/>
    <col min="3330" max="3330" width="18.28515625" customWidth="1"/>
    <col min="3332" max="3332" width="17" customWidth="1"/>
    <col min="3333" max="3333" width="14.5703125" customWidth="1"/>
    <col min="3334" max="3334" width="17.28515625" customWidth="1"/>
    <col min="3335" max="3335" width="20.5703125" customWidth="1"/>
    <col min="3336" max="3336" width="13.28515625" customWidth="1"/>
    <col min="3337" max="3337" width="12.140625" customWidth="1"/>
    <col min="3338" max="3338" width="12.42578125" customWidth="1"/>
    <col min="3586" max="3586" width="18.28515625" customWidth="1"/>
    <col min="3588" max="3588" width="17" customWidth="1"/>
    <col min="3589" max="3589" width="14.5703125" customWidth="1"/>
    <col min="3590" max="3590" width="17.28515625" customWidth="1"/>
    <col min="3591" max="3591" width="20.5703125" customWidth="1"/>
    <col min="3592" max="3592" width="13.28515625" customWidth="1"/>
    <col min="3593" max="3593" width="12.140625" customWidth="1"/>
    <col min="3594" max="3594" width="12.42578125" customWidth="1"/>
    <col min="3842" max="3842" width="18.28515625" customWidth="1"/>
    <col min="3844" max="3844" width="17" customWidth="1"/>
    <col min="3845" max="3845" width="14.5703125" customWidth="1"/>
    <col min="3846" max="3846" width="17.28515625" customWidth="1"/>
    <col min="3847" max="3847" width="20.5703125" customWidth="1"/>
    <col min="3848" max="3848" width="13.28515625" customWidth="1"/>
    <col min="3849" max="3849" width="12.140625" customWidth="1"/>
    <col min="3850" max="3850" width="12.42578125" customWidth="1"/>
    <col min="4098" max="4098" width="18.28515625" customWidth="1"/>
    <col min="4100" max="4100" width="17" customWidth="1"/>
    <col min="4101" max="4101" width="14.5703125" customWidth="1"/>
    <col min="4102" max="4102" width="17.28515625" customWidth="1"/>
    <col min="4103" max="4103" width="20.5703125" customWidth="1"/>
    <col min="4104" max="4104" width="13.28515625" customWidth="1"/>
    <col min="4105" max="4105" width="12.140625" customWidth="1"/>
    <col min="4106" max="4106" width="12.42578125" customWidth="1"/>
    <col min="4354" max="4354" width="18.28515625" customWidth="1"/>
    <col min="4356" max="4356" width="17" customWidth="1"/>
    <col min="4357" max="4357" width="14.5703125" customWidth="1"/>
    <col min="4358" max="4358" width="17.28515625" customWidth="1"/>
    <col min="4359" max="4359" width="20.5703125" customWidth="1"/>
    <col min="4360" max="4360" width="13.28515625" customWidth="1"/>
    <col min="4361" max="4361" width="12.140625" customWidth="1"/>
    <col min="4362" max="4362" width="12.42578125" customWidth="1"/>
    <col min="4610" max="4610" width="18.28515625" customWidth="1"/>
    <col min="4612" max="4612" width="17" customWidth="1"/>
    <col min="4613" max="4613" width="14.5703125" customWidth="1"/>
    <col min="4614" max="4614" width="17.28515625" customWidth="1"/>
    <col min="4615" max="4615" width="20.5703125" customWidth="1"/>
    <col min="4616" max="4616" width="13.28515625" customWidth="1"/>
    <col min="4617" max="4617" width="12.140625" customWidth="1"/>
    <col min="4618" max="4618" width="12.42578125" customWidth="1"/>
    <col min="4866" max="4866" width="18.28515625" customWidth="1"/>
    <col min="4868" max="4868" width="17" customWidth="1"/>
    <col min="4869" max="4869" width="14.5703125" customWidth="1"/>
    <col min="4870" max="4870" width="17.28515625" customWidth="1"/>
    <col min="4871" max="4871" width="20.5703125" customWidth="1"/>
    <col min="4872" max="4872" width="13.28515625" customWidth="1"/>
    <col min="4873" max="4873" width="12.140625" customWidth="1"/>
    <col min="4874" max="4874" width="12.42578125" customWidth="1"/>
    <col min="5122" max="5122" width="18.28515625" customWidth="1"/>
    <col min="5124" max="5124" width="17" customWidth="1"/>
    <col min="5125" max="5125" width="14.5703125" customWidth="1"/>
    <col min="5126" max="5126" width="17.28515625" customWidth="1"/>
    <col min="5127" max="5127" width="20.5703125" customWidth="1"/>
    <col min="5128" max="5128" width="13.28515625" customWidth="1"/>
    <col min="5129" max="5129" width="12.140625" customWidth="1"/>
    <col min="5130" max="5130" width="12.42578125" customWidth="1"/>
    <col min="5378" max="5378" width="18.28515625" customWidth="1"/>
    <col min="5380" max="5380" width="17" customWidth="1"/>
    <col min="5381" max="5381" width="14.5703125" customWidth="1"/>
    <col min="5382" max="5382" width="17.28515625" customWidth="1"/>
    <col min="5383" max="5383" width="20.5703125" customWidth="1"/>
    <col min="5384" max="5384" width="13.28515625" customWidth="1"/>
    <col min="5385" max="5385" width="12.140625" customWidth="1"/>
    <col min="5386" max="5386" width="12.42578125" customWidth="1"/>
    <col min="5634" max="5634" width="18.28515625" customWidth="1"/>
    <col min="5636" max="5636" width="17" customWidth="1"/>
    <col min="5637" max="5637" width="14.5703125" customWidth="1"/>
    <col min="5638" max="5638" width="17.28515625" customWidth="1"/>
    <col min="5639" max="5639" width="20.5703125" customWidth="1"/>
    <col min="5640" max="5640" width="13.28515625" customWidth="1"/>
    <col min="5641" max="5641" width="12.140625" customWidth="1"/>
    <col min="5642" max="5642" width="12.42578125" customWidth="1"/>
    <col min="5890" max="5890" width="18.28515625" customWidth="1"/>
    <col min="5892" max="5892" width="17" customWidth="1"/>
    <col min="5893" max="5893" width="14.5703125" customWidth="1"/>
    <col min="5894" max="5894" width="17.28515625" customWidth="1"/>
    <col min="5895" max="5895" width="20.5703125" customWidth="1"/>
    <col min="5896" max="5896" width="13.28515625" customWidth="1"/>
    <col min="5897" max="5897" width="12.140625" customWidth="1"/>
    <col min="5898" max="5898" width="12.42578125" customWidth="1"/>
    <col min="6146" max="6146" width="18.28515625" customWidth="1"/>
    <col min="6148" max="6148" width="17" customWidth="1"/>
    <col min="6149" max="6149" width="14.5703125" customWidth="1"/>
    <col min="6150" max="6150" width="17.28515625" customWidth="1"/>
    <col min="6151" max="6151" width="20.5703125" customWidth="1"/>
    <col min="6152" max="6152" width="13.28515625" customWidth="1"/>
    <col min="6153" max="6153" width="12.140625" customWidth="1"/>
    <col min="6154" max="6154" width="12.42578125" customWidth="1"/>
    <col min="6402" max="6402" width="18.28515625" customWidth="1"/>
    <col min="6404" max="6404" width="17" customWidth="1"/>
    <col min="6405" max="6405" width="14.5703125" customWidth="1"/>
    <col min="6406" max="6406" width="17.28515625" customWidth="1"/>
    <col min="6407" max="6407" width="20.5703125" customWidth="1"/>
    <col min="6408" max="6408" width="13.28515625" customWidth="1"/>
    <col min="6409" max="6409" width="12.140625" customWidth="1"/>
    <col min="6410" max="6410" width="12.42578125" customWidth="1"/>
    <col min="6658" max="6658" width="18.28515625" customWidth="1"/>
    <col min="6660" max="6660" width="17" customWidth="1"/>
    <col min="6661" max="6661" width="14.5703125" customWidth="1"/>
    <col min="6662" max="6662" width="17.28515625" customWidth="1"/>
    <col min="6663" max="6663" width="20.5703125" customWidth="1"/>
    <col min="6664" max="6664" width="13.28515625" customWidth="1"/>
    <col min="6665" max="6665" width="12.140625" customWidth="1"/>
    <col min="6666" max="6666" width="12.42578125" customWidth="1"/>
    <col min="6914" max="6914" width="18.28515625" customWidth="1"/>
    <col min="6916" max="6916" width="17" customWidth="1"/>
    <col min="6917" max="6917" width="14.5703125" customWidth="1"/>
    <col min="6918" max="6918" width="17.28515625" customWidth="1"/>
    <col min="6919" max="6919" width="20.5703125" customWidth="1"/>
    <col min="6920" max="6920" width="13.28515625" customWidth="1"/>
    <col min="6921" max="6921" width="12.140625" customWidth="1"/>
    <col min="6922" max="6922" width="12.42578125" customWidth="1"/>
    <col min="7170" max="7170" width="18.28515625" customWidth="1"/>
    <col min="7172" max="7172" width="17" customWidth="1"/>
    <col min="7173" max="7173" width="14.5703125" customWidth="1"/>
    <col min="7174" max="7174" width="17.28515625" customWidth="1"/>
    <col min="7175" max="7175" width="20.5703125" customWidth="1"/>
    <col min="7176" max="7176" width="13.28515625" customWidth="1"/>
    <col min="7177" max="7177" width="12.140625" customWidth="1"/>
    <col min="7178" max="7178" width="12.42578125" customWidth="1"/>
    <col min="7426" max="7426" width="18.28515625" customWidth="1"/>
    <col min="7428" max="7428" width="17" customWidth="1"/>
    <col min="7429" max="7429" width="14.5703125" customWidth="1"/>
    <col min="7430" max="7430" width="17.28515625" customWidth="1"/>
    <col min="7431" max="7431" width="20.5703125" customWidth="1"/>
    <col min="7432" max="7432" width="13.28515625" customWidth="1"/>
    <col min="7433" max="7433" width="12.140625" customWidth="1"/>
    <col min="7434" max="7434" width="12.42578125" customWidth="1"/>
    <col min="7682" max="7682" width="18.28515625" customWidth="1"/>
    <col min="7684" max="7684" width="17" customWidth="1"/>
    <col min="7685" max="7685" width="14.5703125" customWidth="1"/>
    <col min="7686" max="7686" width="17.28515625" customWidth="1"/>
    <col min="7687" max="7687" width="20.5703125" customWidth="1"/>
    <col min="7688" max="7688" width="13.28515625" customWidth="1"/>
    <col min="7689" max="7689" width="12.140625" customWidth="1"/>
    <col min="7690" max="7690" width="12.42578125" customWidth="1"/>
    <col min="7938" max="7938" width="18.28515625" customWidth="1"/>
    <col min="7940" max="7940" width="17" customWidth="1"/>
    <col min="7941" max="7941" width="14.5703125" customWidth="1"/>
    <col min="7942" max="7942" width="17.28515625" customWidth="1"/>
    <col min="7943" max="7943" width="20.5703125" customWidth="1"/>
    <col min="7944" max="7944" width="13.28515625" customWidth="1"/>
    <col min="7945" max="7945" width="12.140625" customWidth="1"/>
    <col min="7946" max="7946" width="12.42578125" customWidth="1"/>
    <col min="8194" max="8194" width="18.28515625" customWidth="1"/>
    <col min="8196" max="8196" width="17" customWidth="1"/>
    <col min="8197" max="8197" width="14.5703125" customWidth="1"/>
    <col min="8198" max="8198" width="17.28515625" customWidth="1"/>
    <col min="8199" max="8199" width="20.5703125" customWidth="1"/>
    <col min="8200" max="8200" width="13.28515625" customWidth="1"/>
    <col min="8201" max="8201" width="12.140625" customWidth="1"/>
    <col min="8202" max="8202" width="12.42578125" customWidth="1"/>
    <col min="8450" max="8450" width="18.28515625" customWidth="1"/>
    <col min="8452" max="8452" width="17" customWidth="1"/>
    <col min="8453" max="8453" width="14.5703125" customWidth="1"/>
    <col min="8454" max="8454" width="17.28515625" customWidth="1"/>
    <col min="8455" max="8455" width="20.5703125" customWidth="1"/>
    <col min="8456" max="8456" width="13.28515625" customWidth="1"/>
    <col min="8457" max="8457" width="12.140625" customWidth="1"/>
    <col min="8458" max="8458" width="12.42578125" customWidth="1"/>
    <col min="8706" max="8706" width="18.28515625" customWidth="1"/>
    <col min="8708" max="8708" width="17" customWidth="1"/>
    <col min="8709" max="8709" width="14.5703125" customWidth="1"/>
    <col min="8710" max="8710" width="17.28515625" customWidth="1"/>
    <col min="8711" max="8711" width="20.5703125" customWidth="1"/>
    <col min="8712" max="8712" width="13.28515625" customWidth="1"/>
    <col min="8713" max="8713" width="12.140625" customWidth="1"/>
    <col min="8714" max="8714" width="12.42578125" customWidth="1"/>
    <col min="8962" max="8962" width="18.28515625" customWidth="1"/>
    <col min="8964" max="8964" width="17" customWidth="1"/>
    <col min="8965" max="8965" width="14.5703125" customWidth="1"/>
    <col min="8966" max="8966" width="17.28515625" customWidth="1"/>
    <col min="8967" max="8967" width="20.5703125" customWidth="1"/>
    <col min="8968" max="8968" width="13.28515625" customWidth="1"/>
    <col min="8969" max="8969" width="12.140625" customWidth="1"/>
    <col min="8970" max="8970" width="12.42578125" customWidth="1"/>
    <col min="9218" max="9218" width="18.28515625" customWidth="1"/>
    <col min="9220" max="9220" width="17" customWidth="1"/>
    <col min="9221" max="9221" width="14.5703125" customWidth="1"/>
    <col min="9222" max="9222" width="17.28515625" customWidth="1"/>
    <col min="9223" max="9223" width="20.5703125" customWidth="1"/>
    <col min="9224" max="9224" width="13.28515625" customWidth="1"/>
    <col min="9225" max="9225" width="12.140625" customWidth="1"/>
    <col min="9226" max="9226" width="12.42578125" customWidth="1"/>
    <col min="9474" max="9474" width="18.28515625" customWidth="1"/>
    <col min="9476" max="9476" width="17" customWidth="1"/>
    <col min="9477" max="9477" width="14.5703125" customWidth="1"/>
    <col min="9478" max="9478" width="17.28515625" customWidth="1"/>
    <col min="9479" max="9479" width="20.5703125" customWidth="1"/>
    <col min="9480" max="9480" width="13.28515625" customWidth="1"/>
    <col min="9481" max="9481" width="12.140625" customWidth="1"/>
    <col min="9482" max="9482" width="12.42578125" customWidth="1"/>
    <col min="9730" max="9730" width="18.28515625" customWidth="1"/>
    <col min="9732" max="9732" width="17" customWidth="1"/>
    <col min="9733" max="9733" width="14.5703125" customWidth="1"/>
    <col min="9734" max="9734" width="17.28515625" customWidth="1"/>
    <col min="9735" max="9735" width="20.5703125" customWidth="1"/>
    <col min="9736" max="9736" width="13.28515625" customWidth="1"/>
    <col min="9737" max="9737" width="12.140625" customWidth="1"/>
    <col min="9738" max="9738" width="12.42578125" customWidth="1"/>
    <col min="9986" max="9986" width="18.28515625" customWidth="1"/>
    <col min="9988" max="9988" width="17" customWidth="1"/>
    <col min="9989" max="9989" width="14.5703125" customWidth="1"/>
    <col min="9990" max="9990" width="17.28515625" customWidth="1"/>
    <col min="9991" max="9991" width="20.5703125" customWidth="1"/>
    <col min="9992" max="9992" width="13.28515625" customWidth="1"/>
    <col min="9993" max="9993" width="12.140625" customWidth="1"/>
    <col min="9994" max="9994" width="12.42578125" customWidth="1"/>
    <col min="10242" max="10242" width="18.28515625" customWidth="1"/>
    <col min="10244" max="10244" width="17" customWidth="1"/>
    <col min="10245" max="10245" width="14.5703125" customWidth="1"/>
    <col min="10246" max="10246" width="17.28515625" customWidth="1"/>
    <col min="10247" max="10247" width="20.5703125" customWidth="1"/>
    <col min="10248" max="10248" width="13.28515625" customWidth="1"/>
    <col min="10249" max="10249" width="12.140625" customWidth="1"/>
    <col min="10250" max="10250" width="12.42578125" customWidth="1"/>
    <col min="10498" max="10498" width="18.28515625" customWidth="1"/>
    <col min="10500" max="10500" width="17" customWidth="1"/>
    <col min="10501" max="10501" width="14.5703125" customWidth="1"/>
    <col min="10502" max="10502" width="17.28515625" customWidth="1"/>
    <col min="10503" max="10503" width="20.5703125" customWidth="1"/>
    <col min="10504" max="10504" width="13.28515625" customWidth="1"/>
    <col min="10505" max="10505" width="12.140625" customWidth="1"/>
    <col min="10506" max="10506" width="12.42578125" customWidth="1"/>
    <col min="10754" max="10754" width="18.28515625" customWidth="1"/>
    <col min="10756" max="10756" width="17" customWidth="1"/>
    <col min="10757" max="10757" width="14.5703125" customWidth="1"/>
    <col min="10758" max="10758" width="17.28515625" customWidth="1"/>
    <col min="10759" max="10759" width="20.5703125" customWidth="1"/>
    <col min="10760" max="10760" width="13.28515625" customWidth="1"/>
    <col min="10761" max="10761" width="12.140625" customWidth="1"/>
    <col min="10762" max="10762" width="12.42578125" customWidth="1"/>
    <col min="11010" max="11010" width="18.28515625" customWidth="1"/>
    <col min="11012" max="11012" width="17" customWidth="1"/>
    <col min="11013" max="11013" width="14.5703125" customWidth="1"/>
    <col min="11014" max="11014" width="17.28515625" customWidth="1"/>
    <col min="11015" max="11015" width="20.5703125" customWidth="1"/>
    <col min="11016" max="11016" width="13.28515625" customWidth="1"/>
    <col min="11017" max="11017" width="12.140625" customWidth="1"/>
    <col min="11018" max="11018" width="12.42578125" customWidth="1"/>
    <col min="11266" max="11266" width="18.28515625" customWidth="1"/>
    <col min="11268" max="11268" width="17" customWidth="1"/>
    <col min="11269" max="11269" width="14.5703125" customWidth="1"/>
    <col min="11270" max="11270" width="17.28515625" customWidth="1"/>
    <col min="11271" max="11271" width="20.5703125" customWidth="1"/>
    <col min="11272" max="11272" width="13.28515625" customWidth="1"/>
    <col min="11273" max="11273" width="12.140625" customWidth="1"/>
    <col min="11274" max="11274" width="12.42578125" customWidth="1"/>
    <col min="11522" max="11522" width="18.28515625" customWidth="1"/>
    <col min="11524" max="11524" width="17" customWidth="1"/>
    <col min="11525" max="11525" width="14.5703125" customWidth="1"/>
    <col min="11526" max="11526" width="17.28515625" customWidth="1"/>
    <col min="11527" max="11527" width="20.5703125" customWidth="1"/>
    <col min="11528" max="11528" width="13.28515625" customWidth="1"/>
    <col min="11529" max="11529" width="12.140625" customWidth="1"/>
    <col min="11530" max="11530" width="12.42578125" customWidth="1"/>
    <col min="11778" max="11778" width="18.28515625" customWidth="1"/>
    <col min="11780" max="11780" width="17" customWidth="1"/>
    <col min="11781" max="11781" width="14.5703125" customWidth="1"/>
    <col min="11782" max="11782" width="17.28515625" customWidth="1"/>
    <col min="11783" max="11783" width="20.5703125" customWidth="1"/>
    <col min="11784" max="11784" width="13.28515625" customWidth="1"/>
    <col min="11785" max="11785" width="12.140625" customWidth="1"/>
    <col min="11786" max="11786" width="12.42578125" customWidth="1"/>
    <col min="12034" max="12034" width="18.28515625" customWidth="1"/>
    <col min="12036" max="12036" width="17" customWidth="1"/>
    <col min="12037" max="12037" width="14.5703125" customWidth="1"/>
    <col min="12038" max="12038" width="17.28515625" customWidth="1"/>
    <col min="12039" max="12039" width="20.5703125" customWidth="1"/>
    <col min="12040" max="12040" width="13.28515625" customWidth="1"/>
    <col min="12041" max="12041" width="12.140625" customWidth="1"/>
    <col min="12042" max="12042" width="12.42578125" customWidth="1"/>
    <col min="12290" max="12290" width="18.28515625" customWidth="1"/>
    <col min="12292" max="12292" width="17" customWidth="1"/>
    <col min="12293" max="12293" width="14.5703125" customWidth="1"/>
    <col min="12294" max="12294" width="17.28515625" customWidth="1"/>
    <col min="12295" max="12295" width="20.5703125" customWidth="1"/>
    <col min="12296" max="12296" width="13.28515625" customWidth="1"/>
    <col min="12297" max="12297" width="12.140625" customWidth="1"/>
    <col min="12298" max="12298" width="12.42578125" customWidth="1"/>
    <col min="12546" max="12546" width="18.28515625" customWidth="1"/>
    <col min="12548" max="12548" width="17" customWidth="1"/>
    <col min="12549" max="12549" width="14.5703125" customWidth="1"/>
    <col min="12550" max="12550" width="17.28515625" customWidth="1"/>
    <col min="12551" max="12551" width="20.5703125" customWidth="1"/>
    <col min="12552" max="12552" width="13.28515625" customWidth="1"/>
    <col min="12553" max="12553" width="12.140625" customWidth="1"/>
    <col min="12554" max="12554" width="12.42578125" customWidth="1"/>
    <col min="12802" max="12802" width="18.28515625" customWidth="1"/>
    <col min="12804" max="12804" width="17" customWidth="1"/>
    <col min="12805" max="12805" width="14.5703125" customWidth="1"/>
    <col min="12806" max="12806" width="17.28515625" customWidth="1"/>
    <col min="12807" max="12807" width="20.5703125" customWidth="1"/>
    <col min="12808" max="12808" width="13.28515625" customWidth="1"/>
    <col min="12809" max="12809" width="12.140625" customWidth="1"/>
    <col min="12810" max="12810" width="12.42578125" customWidth="1"/>
    <col min="13058" max="13058" width="18.28515625" customWidth="1"/>
    <col min="13060" max="13060" width="17" customWidth="1"/>
    <col min="13061" max="13061" width="14.5703125" customWidth="1"/>
    <col min="13062" max="13062" width="17.28515625" customWidth="1"/>
    <col min="13063" max="13063" width="20.5703125" customWidth="1"/>
    <col min="13064" max="13064" width="13.28515625" customWidth="1"/>
    <col min="13065" max="13065" width="12.140625" customWidth="1"/>
    <col min="13066" max="13066" width="12.42578125" customWidth="1"/>
    <col min="13314" max="13314" width="18.28515625" customWidth="1"/>
    <col min="13316" max="13316" width="17" customWidth="1"/>
    <col min="13317" max="13317" width="14.5703125" customWidth="1"/>
    <col min="13318" max="13318" width="17.28515625" customWidth="1"/>
    <col min="13319" max="13319" width="20.5703125" customWidth="1"/>
    <col min="13320" max="13320" width="13.28515625" customWidth="1"/>
    <col min="13321" max="13321" width="12.140625" customWidth="1"/>
    <col min="13322" max="13322" width="12.42578125" customWidth="1"/>
    <col min="13570" max="13570" width="18.28515625" customWidth="1"/>
    <col min="13572" max="13572" width="17" customWidth="1"/>
    <col min="13573" max="13573" width="14.5703125" customWidth="1"/>
    <col min="13574" max="13574" width="17.28515625" customWidth="1"/>
    <col min="13575" max="13575" width="20.5703125" customWidth="1"/>
    <col min="13576" max="13576" width="13.28515625" customWidth="1"/>
    <col min="13577" max="13577" width="12.140625" customWidth="1"/>
    <col min="13578" max="13578" width="12.42578125" customWidth="1"/>
    <col min="13826" max="13826" width="18.28515625" customWidth="1"/>
    <col min="13828" max="13828" width="17" customWidth="1"/>
    <col min="13829" max="13829" width="14.5703125" customWidth="1"/>
    <col min="13830" max="13830" width="17.28515625" customWidth="1"/>
    <col min="13831" max="13831" width="20.5703125" customWidth="1"/>
    <col min="13832" max="13832" width="13.28515625" customWidth="1"/>
    <col min="13833" max="13833" width="12.140625" customWidth="1"/>
    <col min="13834" max="13834" width="12.42578125" customWidth="1"/>
    <col min="14082" max="14082" width="18.28515625" customWidth="1"/>
    <col min="14084" max="14084" width="17" customWidth="1"/>
    <col min="14085" max="14085" width="14.5703125" customWidth="1"/>
    <col min="14086" max="14086" width="17.28515625" customWidth="1"/>
    <col min="14087" max="14087" width="20.5703125" customWidth="1"/>
    <col min="14088" max="14088" width="13.28515625" customWidth="1"/>
    <col min="14089" max="14089" width="12.140625" customWidth="1"/>
    <col min="14090" max="14090" width="12.42578125" customWidth="1"/>
    <col min="14338" max="14338" width="18.28515625" customWidth="1"/>
    <col min="14340" max="14340" width="17" customWidth="1"/>
    <col min="14341" max="14341" width="14.5703125" customWidth="1"/>
    <col min="14342" max="14342" width="17.28515625" customWidth="1"/>
    <col min="14343" max="14343" width="20.5703125" customWidth="1"/>
    <col min="14344" max="14344" width="13.28515625" customWidth="1"/>
    <col min="14345" max="14345" width="12.140625" customWidth="1"/>
    <col min="14346" max="14346" width="12.42578125" customWidth="1"/>
    <col min="14594" max="14594" width="18.28515625" customWidth="1"/>
    <col min="14596" max="14596" width="17" customWidth="1"/>
    <col min="14597" max="14597" width="14.5703125" customWidth="1"/>
    <col min="14598" max="14598" width="17.28515625" customWidth="1"/>
    <col min="14599" max="14599" width="20.5703125" customWidth="1"/>
    <col min="14600" max="14600" width="13.28515625" customWidth="1"/>
    <col min="14601" max="14601" width="12.140625" customWidth="1"/>
    <col min="14602" max="14602" width="12.42578125" customWidth="1"/>
    <col min="14850" max="14850" width="18.28515625" customWidth="1"/>
    <col min="14852" max="14852" width="17" customWidth="1"/>
    <col min="14853" max="14853" width="14.5703125" customWidth="1"/>
    <col min="14854" max="14854" width="17.28515625" customWidth="1"/>
    <col min="14855" max="14855" width="20.5703125" customWidth="1"/>
    <col min="14856" max="14856" width="13.28515625" customWidth="1"/>
    <col min="14857" max="14857" width="12.140625" customWidth="1"/>
    <col min="14858" max="14858" width="12.42578125" customWidth="1"/>
    <col min="15106" max="15106" width="18.28515625" customWidth="1"/>
    <col min="15108" max="15108" width="17" customWidth="1"/>
    <col min="15109" max="15109" width="14.5703125" customWidth="1"/>
    <col min="15110" max="15110" width="17.28515625" customWidth="1"/>
    <col min="15111" max="15111" width="20.5703125" customWidth="1"/>
    <col min="15112" max="15112" width="13.28515625" customWidth="1"/>
    <col min="15113" max="15113" width="12.140625" customWidth="1"/>
    <col min="15114" max="15114" width="12.42578125" customWidth="1"/>
    <col min="15362" max="15362" width="18.28515625" customWidth="1"/>
    <col min="15364" max="15364" width="17" customWidth="1"/>
    <col min="15365" max="15365" width="14.5703125" customWidth="1"/>
    <col min="15366" max="15366" width="17.28515625" customWidth="1"/>
    <col min="15367" max="15367" width="20.5703125" customWidth="1"/>
    <col min="15368" max="15368" width="13.28515625" customWidth="1"/>
    <col min="15369" max="15369" width="12.140625" customWidth="1"/>
    <col min="15370" max="15370" width="12.42578125" customWidth="1"/>
    <col min="15618" max="15618" width="18.28515625" customWidth="1"/>
    <col min="15620" max="15620" width="17" customWidth="1"/>
    <col min="15621" max="15621" width="14.5703125" customWidth="1"/>
    <col min="15622" max="15622" width="17.28515625" customWidth="1"/>
    <col min="15623" max="15623" width="20.5703125" customWidth="1"/>
    <col min="15624" max="15624" width="13.28515625" customWidth="1"/>
    <col min="15625" max="15625" width="12.140625" customWidth="1"/>
    <col min="15626" max="15626" width="12.42578125" customWidth="1"/>
    <col min="15874" max="15874" width="18.28515625" customWidth="1"/>
    <col min="15876" max="15876" width="17" customWidth="1"/>
    <col min="15877" max="15877" width="14.5703125" customWidth="1"/>
    <col min="15878" max="15878" width="17.28515625" customWidth="1"/>
    <col min="15879" max="15879" width="20.5703125" customWidth="1"/>
    <col min="15880" max="15880" width="13.28515625" customWidth="1"/>
    <col min="15881" max="15881" width="12.140625" customWidth="1"/>
    <col min="15882" max="15882" width="12.42578125" customWidth="1"/>
    <col min="16130" max="16130" width="18.28515625" customWidth="1"/>
    <col min="16132" max="16132" width="17" customWidth="1"/>
    <col min="16133" max="16133" width="14.5703125" customWidth="1"/>
    <col min="16134" max="16134" width="17.28515625" customWidth="1"/>
    <col min="16135" max="16135" width="20.5703125" customWidth="1"/>
    <col min="16136" max="16136" width="13.28515625" customWidth="1"/>
    <col min="16137" max="16137" width="12.140625" customWidth="1"/>
    <col min="16138" max="16138" width="12.42578125" customWidth="1"/>
  </cols>
  <sheetData>
    <row r="1" spans="1:10" ht="15.75" x14ac:dyDescent="0.25">
      <c r="A1" s="233"/>
      <c r="B1" s="233"/>
      <c r="C1" s="233"/>
      <c r="D1" s="233"/>
      <c r="E1" s="233"/>
      <c r="F1" s="233"/>
      <c r="G1" s="348" t="s">
        <v>777</v>
      </c>
      <c r="H1" s="348"/>
      <c r="I1" s="348"/>
      <c r="J1" s="348"/>
    </row>
    <row r="2" spans="1:10" ht="15.75" x14ac:dyDescent="0.25">
      <c r="A2" s="233"/>
      <c r="B2" s="233"/>
      <c r="C2" s="233"/>
      <c r="D2" s="233"/>
      <c r="E2" s="233"/>
      <c r="F2" s="233"/>
      <c r="G2" s="339" t="s">
        <v>776</v>
      </c>
      <c r="H2" s="339"/>
      <c r="I2" s="339"/>
      <c r="J2" s="339"/>
    </row>
    <row r="3" spans="1:10" ht="15.75" x14ac:dyDescent="0.25">
      <c r="A3" s="233"/>
      <c r="B3" s="233"/>
      <c r="C3" s="233"/>
      <c r="D3" s="233"/>
      <c r="E3" s="233"/>
      <c r="F3" s="233"/>
      <c r="G3" s="21"/>
      <c r="H3" s="21"/>
      <c r="I3" s="21"/>
      <c r="J3" s="21"/>
    </row>
    <row r="4" spans="1:10" ht="15.75" x14ac:dyDescent="0.25">
      <c r="A4" s="356" t="s">
        <v>775</v>
      </c>
      <c r="B4" s="356"/>
      <c r="C4" s="356"/>
      <c r="D4" s="356"/>
      <c r="E4" s="356"/>
      <c r="F4" s="356"/>
      <c r="G4" s="356"/>
      <c r="H4" s="356"/>
      <c r="I4" s="356"/>
      <c r="J4" s="356"/>
    </row>
    <row r="5" spans="1:10" ht="15.75" x14ac:dyDescent="0.25">
      <c r="A5" s="356" t="s">
        <v>778</v>
      </c>
      <c r="B5" s="356"/>
      <c r="C5" s="356"/>
      <c r="D5" s="356"/>
      <c r="E5" s="356"/>
      <c r="F5" s="356"/>
      <c r="G5" s="356"/>
      <c r="H5" s="356"/>
      <c r="I5" s="356"/>
      <c r="J5" s="356"/>
    </row>
    <row r="6" spans="1:10" ht="15.75" x14ac:dyDescent="0.25">
      <c r="A6" s="357" t="s">
        <v>456</v>
      </c>
      <c r="B6" s="357"/>
      <c r="C6" s="357"/>
      <c r="D6" s="357"/>
      <c r="E6" s="357"/>
      <c r="F6" s="357"/>
      <c r="G6" s="357"/>
      <c r="H6" s="357"/>
      <c r="I6" s="357"/>
      <c r="J6" s="357"/>
    </row>
    <row r="7" spans="1:10" ht="38.25" x14ac:dyDescent="0.2">
      <c r="A7" s="232" t="s">
        <v>774</v>
      </c>
      <c r="B7" s="358" t="s">
        <v>773</v>
      </c>
      <c r="C7" s="358"/>
      <c r="D7" s="358"/>
      <c r="E7" s="358"/>
      <c r="F7" s="3" t="s">
        <v>772</v>
      </c>
      <c r="G7" s="3" t="s">
        <v>771</v>
      </c>
      <c r="H7" s="54" t="s">
        <v>523</v>
      </c>
      <c r="I7" s="231" t="s">
        <v>779</v>
      </c>
      <c r="J7" s="4" t="s">
        <v>766</v>
      </c>
    </row>
    <row r="8" spans="1:10" x14ac:dyDescent="0.2">
      <c r="A8" s="230">
        <v>1</v>
      </c>
      <c r="B8" s="230">
        <v>2</v>
      </c>
      <c r="C8" s="230">
        <v>3</v>
      </c>
      <c r="D8" s="230">
        <v>4</v>
      </c>
      <c r="E8" s="230">
        <v>5</v>
      </c>
      <c r="F8" s="230">
        <v>6</v>
      </c>
      <c r="G8" s="230">
        <v>7</v>
      </c>
      <c r="H8" s="229">
        <v>8</v>
      </c>
      <c r="I8" s="229">
        <v>9</v>
      </c>
      <c r="J8" s="229">
        <v>10</v>
      </c>
    </row>
    <row r="9" spans="1:10" ht="94.5" x14ac:dyDescent="0.2">
      <c r="A9" s="299" t="s">
        <v>757</v>
      </c>
      <c r="B9" s="227" t="s">
        <v>890</v>
      </c>
      <c r="C9" s="299">
        <v>271</v>
      </c>
      <c r="D9" s="228">
        <v>44181</v>
      </c>
      <c r="E9" s="299" t="s">
        <v>892</v>
      </c>
      <c r="F9" s="227" t="s">
        <v>891</v>
      </c>
      <c r="G9" s="299" t="s">
        <v>893</v>
      </c>
      <c r="H9" s="225">
        <v>300</v>
      </c>
      <c r="I9" s="225">
        <v>300</v>
      </c>
      <c r="J9" s="225">
        <f t="shared" ref="J9" si="0">I9/H9*100</f>
        <v>100</v>
      </c>
    </row>
    <row r="10" spans="1:10" ht="15.75" x14ac:dyDescent="0.2">
      <c r="A10" s="224"/>
      <c r="B10" s="223" t="s">
        <v>423</v>
      </c>
      <c r="C10" s="223"/>
      <c r="D10" s="223"/>
      <c r="E10" s="223"/>
      <c r="F10" s="223"/>
      <c r="G10" s="223"/>
      <c r="H10" s="222">
        <f>SUM(H9:H9)</f>
        <v>300</v>
      </c>
      <c r="I10" s="222">
        <f>SUM(I9:I9)</f>
        <v>300</v>
      </c>
      <c r="J10" s="222">
        <f>I10/H10*100</f>
        <v>100</v>
      </c>
    </row>
    <row r="11" spans="1:10" ht="15.75" x14ac:dyDescent="0.2">
      <c r="A11" s="221"/>
      <c r="B11" s="220"/>
      <c r="C11" s="220"/>
      <c r="D11" s="220"/>
      <c r="E11" s="220"/>
      <c r="F11" s="220"/>
      <c r="G11" s="220"/>
      <c r="H11" s="219"/>
      <c r="I11" s="219"/>
      <c r="J11" s="219"/>
    </row>
    <row r="12" spans="1:10" ht="30" customHeight="1" x14ac:dyDescent="0.25">
      <c r="A12" s="354" t="s">
        <v>967</v>
      </c>
      <c r="B12" s="355"/>
      <c r="C12" s="355"/>
      <c r="D12" s="355"/>
      <c r="E12" s="355"/>
      <c r="F12" s="355"/>
      <c r="G12" s="355"/>
      <c r="H12" s="355"/>
      <c r="I12" s="355"/>
      <c r="J12" s="355"/>
    </row>
  </sheetData>
  <mergeCells count="7">
    <mergeCell ref="A12:J12"/>
    <mergeCell ref="G1:J1"/>
    <mergeCell ref="G2:J2"/>
    <mergeCell ref="A4:J4"/>
    <mergeCell ref="A5:J5"/>
    <mergeCell ref="A6:J6"/>
    <mergeCell ref="B7:E7"/>
  </mergeCells>
  <pageMargins left="0.39370078740157483" right="0.39370078740157483" top="0.39370078740157483" bottom="0.39370078740157483" header="0" footer="0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ДОХОДЫ АДМ</vt:lpstr>
      <vt:lpstr>Доходы 2020 </vt:lpstr>
      <vt:lpstr> Ведомственная 2020 </vt:lpstr>
      <vt:lpstr>Расходы 2020</vt:lpstr>
      <vt:lpstr>МП, ВЦП и НПР 2020</vt:lpstr>
      <vt:lpstr>Источники АДМ</vt:lpstr>
      <vt:lpstr>Источники 2020</vt:lpstr>
      <vt:lpstr>Резервный 2020 </vt:lpstr>
      <vt:lpstr>' Ведомственная 2020 '!Заголовки_для_печати</vt:lpstr>
      <vt:lpstr>'МП, ВЦП и НПР 2020'!Заголовки_для_печати</vt:lpstr>
      <vt:lpstr>'Расходы 2020'!Заголовки_для_печати</vt:lpstr>
      <vt:lpstr>' Ведомственная 2020 '!Область_печати</vt:lpstr>
      <vt:lpstr>'Доходы 2020 '!Область_печати</vt:lpstr>
      <vt:lpstr>'Источники 2020'!Область_печати</vt:lpstr>
      <vt:lpstr>'МП, ВЦП и НПР 2020'!Область_печати</vt:lpstr>
      <vt:lpstr>'Расходы 2020'!Область_печати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2021-03-18T12:35:37Z</cp:lastPrinted>
  <dcterms:created xsi:type="dcterms:W3CDTF">2010-10-28T10:47:01Z</dcterms:created>
  <dcterms:modified xsi:type="dcterms:W3CDTF">2021-03-18T12:35:44Z</dcterms:modified>
</cp:coreProperties>
</file>